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66925"/>
  <mc:AlternateContent xmlns:mc="http://schemas.openxmlformats.org/markup-compatibility/2006">
    <mc:Choice Requires="x15">
      <x15ac:absPath xmlns:x15ac="http://schemas.microsoft.com/office/spreadsheetml/2010/11/ac" url="https://spgl.sharepoint.com/sites/collab_nam_indices_policygov_op_m/Shared Documents/Regulatory Operations/ESG/ESG Disclosures/VanEck/"/>
    </mc:Choice>
  </mc:AlternateContent>
  <xr:revisionPtr revIDLastSave="29" documentId="8_{5BD826A0-FDD5-4F95-9A0A-FD4E92DB395D}" xr6:coauthVersionLast="47" xr6:coauthVersionMax="47" xr10:uidLastSave="{2525D04F-33F0-4F34-801B-F9BB29DD6D29}"/>
  <workbookProtection workbookAlgorithmName="SHA-512" workbookHashValue="+95RUvEjm41PTIOkWp9+Ej8TWLGw1woytlhIR26BJNhtlTPwhYuqrxZ8nY6OfY/q7aDFFu82Loef6FPbz4hl+w==" workbookSaltValue="mwHxXn8SMFjq2/DrHIhaQw==" workbookSpinCount="100000" lockStructure="1"/>
  <bookViews>
    <workbookView xWindow="6870" yWindow="660" windowWidth="22605" windowHeight="19005" xr2:uid="{96BC6A34-6E7E-4FB1-ABE1-2CDDA07E80F3}"/>
  </bookViews>
  <sheets>
    <sheet name="Front Cover" sheetId="22" r:id="rId1"/>
    <sheet name="Note" sheetId="55" r:id="rId2"/>
    <sheet name="I. ESG Factors Report - Equity" sheetId="40" r:id="rId3"/>
    <sheet name="I. ESG Factors Report - FI (1)" sheetId="50" r:id="rId4"/>
    <sheet name="I. ESG Factors Report - FI (2)" sheetId="51" r:id="rId5"/>
    <sheet name="I. ESG Factors Report - FI (3)" sheetId="52" r:id="rId6"/>
    <sheet name="Appendices" sheetId="34" r:id="rId7"/>
    <sheet name="REF" sheetId="5" state="hidden" r:id="rId8"/>
    <sheet name="Index and date" sheetId="44" state="hidden" r:id="rId9"/>
    <sheet name="Universe to PAct mapping" sheetId="41" state="hidden" r:id="rId10"/>
    <sheet name="DATABASE_SPACE " sheetId="37" state="hidden" r:id="rId11"/>
    <sheet name="Database - FI" sheetId="53" state="hidden" r:id="rId12"/>
  </sheets>
  <externalReferences>
    <externalReference r:id="rId13"/>
    <externalReference r:id="rId14"/>
  </externalReferences>
  <definedNames>
    <definedName name="_7__Self_Decarbonization_Trajectory" localSheetId="6">OFFSET(Appendices!#REF!,,,COUNTIF(Appendices!#REF!,"&lt;&gt;"))</definedName>
    <definedName name="_7__Self_Decarbonization_Trajectory" localSheetId="0">OFFSET('Front Cover'!#REF!,,,COUNTIF('Front Cover'!#REF!,"&lt;&gt;"))</definedName>
    <definedName name="_7__Self_Decarbonization_Trajectory" localSheetId="2">OFFSET('I. ESG Factors Report - Equity'!#REF!,,,COUNTIF('I. ESG Factors Report - Equity'!#REF!,"&lt;&gt;"))</definedName>
    <definedName name="_7__Self_Decarbonization_Trajectory" localSheetId="3">OFFSET('I. ESG Factors Report - FI (1)'!#REF!,,,COUNTIF('I. ESG Factors Report - FI (1)'!#REF!,"&lt;&gt;"))</definedName>
    <definedName name="_7__Self_Decarbonization_Trajectory" localSheetId="4">OFFSET('I. ESG Factors Report - FI (2)'!#REF!,,,COUNTIF('I. ESG Factors Report - FI (2)'!#REF!,"&lt;&gt;"))</definedName>
    <definedName name="_7__Self_Decarbonization_Trajectory" localSheetId="5">OFFSET('I. ESG Factors Report - FI (3)'!#REF!,,,COUNTIF('I. ESG Factors Report - FI (3)'!#REF!,"&lt;&gt;"))</definedName>
    <definedName name="_7__Self_Decarbonization_Trajectory">OFFSET(#REF!,,,COUNTIF(#REF!,"&lt;&gt;"))</definedName>
    <definedName name="_xlnm._FilterDatabase" localSheetId="11" hidden="1">'Database - FI'!$A$3:$DK$3</definedName>
    <definedName name="_xlnm._FilterDatabase" localSheetId="10" hidden="1">'DATABASE_SPACE '!$A$2:$CG$2</definedName>
    <definedName name="_xlnm._FilterDatabase" localSheetId="8" hidden="1">'Index and date'!$A$1:$P$67</definedName>
    <definedName name="_xlnm._FilterDatabase" localSheetId="9" hidden="1">'Universe to PAct mapping'!$A$1:$M$93</definedName>
    <definedName name="Climate_Transition_Index___EVIC_Inflation_Adjusted_WACI" localSheetId="6">OFFSET(Appendices!#REF!,,,COUNTIF(Appendices!#REF!,"&lt;&gt;"))</definedName>
    <definedName name="Climate_Transition_Index___EVIC_Inflation_Adjusted_WACI" localSheetId="0">OFFSET('Front Cover'!#REF!,,,COUNTIF('Front Cover'!#REF!,"&lt;&gt;"))</definedName>
    <definedName name="Climate_Transition_Index___EVIC_Inflation_Adjusted_WACI" localSheetId="2">OFFSET('I. ESG Factors Report - Equity'!#REF!,,,COUNTIF('I. ESG Factors Report - Equity'!#REF!,"&lt;&gt;"))</definedName>
    <definedName name="Climate_Transition_Index___EVIC_Inflation_Adjusted_WACI" localSheetId="3">OFFSET('I. ESG Factors Report - FI (1)'!#REF!,,,COUNTIF('I. ESG Factors Report - FI (1)'!#REF!,"&lt;&gt;"))</definedName>
    <definedName name="Climate_Transition_Index___EVIC_Inflation_Adjusted_WACI" localSheetId="4">OFFSET('I. ESG Factors Report - FI (2)'!#REF!,,,COUNTIF('I. ESG Factors Report - FI (2)'!#REF!,"&lt;&gt;"))</definedName>
    <definedName name="Climate_Transition_Index___EVIC_Inflation_Adjusted_WACI" localSheetId="5">OFFSET('I. ESG Factors Report - FI (3)'!#REF!,,,COUNTIF('I. ESG Factors Report - FI (3)'!#REF!,"&lt;&gt;"))</definedName>
    <definedName name="Climate_Transition_Index___EVIC_Inflation_Adjusted_WACI">OFFSET(#REF!,,,COUNTIF(#REF!,"&lt;&gt;"))</definedName>
    <definedName name="EU_CTB_Decarbonization_Target___Min_A_B" localSheetId="6">OFFSET(Appendices!#REF!,,,COUNTIF(Appendices!#REF!,"&lt;&gt;"))</definedName>
    <definedName name="EU_CTB_Decarbonization_Target___Min_A_B" localSheetId="0">OFFSET('Front Cover'!#REF!,,,COUNTIF('Front Cover'!#REF!,"&lt;&gt;"))</definedName>
    <definedName name="EU_CTB_Decarbonization_Target___Min_A_B" localSheetId="2">OFFSET('I. ESG Factors Report - Equity'!#REF!,,,COUNTIF('I. ESG Factors Report - Equity'!#REF!,"&lt;&gt;"))</definedName>
    <definedName name="EU_CTB_Decarbonization_Target___Min_A_B" localSheetId="3">OFFSET('I. ESG Factors Report - FI (1)'!#REF!,,,COUNTIF('I. ESG Factors Report - FI (1)'!#REF!,"&lt;&gt;"))</definedName>
    <definedName name="EU_CTB_Decarbonization_Target___Min_A_B" localSheetId="4">OFFSET('I. ESG Factors Report - FI (2)'!#REF!,,,COUNTIF('I. ESG Factors Report - FI (2)'!#REF!,"&lt;&gt;"))</definedName>
    <definedName name="EU_CTB_Decarbonization_Target___Min_A_B" localSheetId="5">OFFSET('I. ESG Factors Report - FI (3)'!#REF!,,,COUNTIF('I. ESG Factors Report - FI (3)'!#REF!,"&lt;&gt;"))</definedName>
    <definedName name="EU_CTB_Decarbonization_Target___Min_A_B">OFFSET(#REF!,,,COUNTIF(#REF!,"&lt;&gt;"))</definedName>
    <definedName name="Index_Methodology_Decarbonization_Target__Min_A_B___5__Buffer" localSheetId="6">OFFSET(Appendices!#REF!,,,COUNTIF(Appendices!#REF!,"&lt;&gt;"))</definedName>
    <definedName name="Index_Methodology_Decarbonization_Target__Min_A_B___5__Buffer" localSheetId="0">OFFSET('Front Cover'!#REF!,,,COUNTIF('Front Cover'!#REF!,"&lt;&gt;"))</definedName>
    <definedName name="Index_Methodology_Decarbonization_Target__Min_A_B___5__Buffer" localSheetId="2">OFFSET('I. ESG Factors Report - Equity'!#REF!,,,COUNTIF('I. ESG Factors Report - Equity'!#REF!,"&lt;&gt;"))</definedName>
    <definedName name="Index_Methodology_Decarbonization_Target__Min_A_B___5__Buffer" localSheetId="3">OFFSET('I. ESG Factors Report - FI (1)'!#REF!,,,COUNTIF('I. ESG Factors Report - FI (1)'!#REF!,"&lt;&gt;"))</definedName>
    <definedName name="Index_Methodology_Decarbonization_Target__Min_A_B___5__Buffer" localSheetId="4">OFFSET('I. ESG Factors Report - FI (2)'!#REF!,,,COUNTIF('I. ESG Factors Report - FI (2)'!#REF!,"&lt;&gt;"))</definedName>
    <definedName name="Index_Methodology_Decarbonization_Target__Min_A_B___5__Buffer" localSheetId="5">OFFSET('I. ESG Factors Report - FI (3)'!#REF!,,,COUNTIF('I. ESG Factors Report - FI (3)'!#REF!,"&lt;&gt;"))</definedName>
    <definedName name="Index_Methodology_Decarbonization_Target__Min_A_B___5__Buffer">OFFSET(#REF!,,,COUNTIF(#REF!,"&lt;&gt;"))</definedName>
    <definedName name="Index_name_formats_to_be_removed" localSheetId="3">'[1]Batch 2 request list'!$K$2:$K$5</definedName>
    <definedName name="Index_name_formats_to_be_removed">#REF!</definedName>
    <definedName name="Index_name_formats_to_be_removed2">'[1]Batch 2 request list'!$K$2:$K$5</definedName>
    <definedName name="IndexRebalanceEffectiveDate" localSheetId="6">OFFSET(Appendices!#REF!,,,COUNTIF(Appendices!#REF!,"&lt;&gt;"))</definedName>
    <definedName name="IndexRebalanceEffectiveDate" localSheetId="0">OFFSET('Front Cover'!#REF!,,,COUNTIF('Front Cover'!#REF!,"&lt;&gt;"))</definedName>
    <definedName name="IndexRebalanceEffectiveDate" localSheetId="2">OFFSET('I. ESG Factors Report - Equity'!#REF!,,,COUNTIF('I. ESG Factors Report - Equity'!#REF!,"&lt;&gt;"))</definedName>
    <definedName name="IndexRebalanceEffectiveDate" localSheetId="3">OFFSET('I. ESG Factors Report - FI (1)'!#REF!,,,COUNTIF('I. ESG Factors Report - FI (1)'!#REF!,"&lt;&gt;"))</definedName>
    <definedName name="IndexRebalanceEffectiveDate" localSheetId="4">OFFSET('I. ESG Factors Report - FI (2)'!#REF!,,,COUNTIF('I. ESG Factors Report - FI (2)'!#REF!,"&lt;&gt;"))</definedName>
    <definedName name="IndexRebalanceEffectiveDate" localSheetId="5">OFFSET('I. ESG Factors Report - FI (3)'!#REF!,,,COUNTIF('I. ESG Factors Report - FI (3)'!#REF!,"&lt;&gt;"))</definedName>
    <definedName name="IndexRebalanceEffectiveDate">OFFSET(#REF!,,,COUNTIF(#REF!,"&lt;&gt;"))</definedName>
    <definedName name="IndexRebalanceReferenceDate" localSheetId="6">OFFSET(Appendices!#REF!,,,COUNTIF(Appendices!#REF!,"&lt;&gt;"))</definedName>
    <definedName name="IndexRebalanceReferenceDate" localSheetId="0">OFFSET('Front Cover'!#REF!,,,COUNTIF('Front Cover'!#REF!,"&lt;&gt;"))</definedName>
    <definedName name="IndexRebalanceReferenceDate" localSheetId="2">OFFSET('I. ESG Factors Report - Equity'!#REF!,,,COUNTIF('I. ESG Factors Report - Equity'!#REF!,"&lt;&gt;"))</definedName>
    <definedName name="IndexRebalanceReferenceDate" localSheetId="3">OFFSET('I. ESG Factors Report - FI (1)'!#REF!,,,COUNTIF('I. ESG Factors Report - FI (1)'!#REF!,"&lt;&gt;"))</definedName>
    <definedName name="IndexRebalanceReferenceDate" localSheetId="4">OFFSET('I. ESG Factors Report - FI (2)'!#REF!,,,COUNTIF('I. ESG Factors Report - FI (2)'!#REF!,"&lt;&gt;"))</definedName>
    <definedName name="IndexRebalanceReferenceDate" localSheetId="5">OFFSET('I. ESG Factors Report - FI (3)'!#REF!,,,COUNTIF('I. ESG Factors Report - FI (3)'!#REF!,"&lt;&gt;"))</definedName>
    <definedName name="IndexRebalanceReferenceDate">OFFSET(#REF!,,,COUNTIF(#REF!,"&lt;&gt;"))</definedName>
    <definedName name="_xlnm.Print_Area" localSheetId="6">Appendices!$A$1:$X$72</definedName>
    <definedName name="_xlnm.Print_Area" localSheetId="0">'Front Cover'!$A$1:$X$32</definedName>
    <definedName name="_xlnm.Print_Area" localSheetId="2">'I. ESG Factors Report - Equity'!$A$1:$X$192</definedName>
    <definedName name="_xlnm.Print_Area" localSheetId="3">'I. ESG Factors Report - FI (1)'!$A$1:$Z$84</definedName>
    <definedName name="_xlnm.Print_Area" localSheetId="4">'I. ESG Factors Report - FI (2)'!$A$1:$Z$77</definedName>
    <definedName name="_xlnm.Print_Area" localSheetId="5">'I. ESG Factors Report - FI (3)'!$A$1:$Z$79</definedName>
    <definedName name="Universe_Index__EVIC_Inflation_Adjusted_WACI" localSheetId="6">OFFSET(Appendices!#REF!,,,COUNTIF(Appendices!#REF!,"&lt;&gt;"))</definedName>
    <definedName name="Universe_Index__EVIC_Inflation_Adjusted_WACI" localSheetId="0">OFFSET('Front Cover'!#REF!,,,COUNTIF('Front Cover'!#REF!,"&lt;&gt;"))</definedName>
    <definedName name="Universe_Index__EVIC_Inflation_Adjusted_WACI" localSheetId="2">OFFSET('I. ESG Factors Report - Equity'!#REF!,,,COUNTIF('I. ESG Factors Report - Equity'!#REF!,"&lt;&gt;"))</definedName>
    <definedName name="Universe_Index__EVIC_Inflation_Adjusted_WACI" localSheetId="3">OFFSET('I. ESG Factors Report - FI (1)'!#REF!,,,COUNTIF('I. ESG Factors Report - FI (1)'!#REF!,"&lt;&gt;"))</definedName>
    <definedName name="Universe_Index__EVIC_Inflation_Adjusted_WACI" localSheetId="4">OFFSET('I. ESG Factors Report - FI (2)'!#REF!,,,COUNTIF('I. ESG Factors Report - FI (2)'!#REF!,"&lt;&gt;"))</definedName>
    <definedName name="Universe_Index__EVIC_Inflation_Adjusted_WACI" localSheetId="5">OFFSET('I. ESG Factors Report - FI (3)'!#REF!,,,COUNTIF('I. ESG Factors Report - FI (3)'!#REF!,"&lt;&gt;"))</definedName>
    <definedName name="Universe_Index__EVIC_Inflation_Adjusted_WACI">OFFSET(#REF!,,,COUNTIF(#REF!,"&lt;&gt;"))</definedName>
    <definedName name="UniverseIndex30EVICInflationAdjustedWACI" localSheetId="6">OFFSET(Appendices!#REF!,,,COUNTIF(Appendices!#REF!,"&lt;&gt;"))</definedName>
    <definedName name="UniverseIndex30EVICInflationAdjustedWACI" localSheetId="0">OFFSET('Front Cover'!#REF!,,,COUNTIF('Front Cover'!#REF!,"&lt;&gt;"))</definedName>
    <definedName name="UniverseIndex30EVICInflationAdjustedWACI" localSheetId="2">OFFSET('I. ESG Factors Report - Equity'!#REF!,,,COUNTIF('I. ESG Factors Report - Equity'!#REF!,"&lt;&gt;"))</definedName>
    <definedName name="UniverseIndex30EVICInflationAdjustedWACI" localSheetId="3">OFFSET('I. ESG Factors Report - FI (1)'!#REF!,,,COUNTIF('I. ESG Factors Report - FI (1)'!#REF!,"&lt;&gt;"))</definedName>
    <definedName name="UniverseIndex30EVICInflationAdjustedWACI" localSheetId="4">OFFSET('I. ESG Factors Report - FI (2)'!#REF!,,,COUNTIF('I. ESG Factors Report - FI (2)'!#REF!,"&lt;&gt;"))</definedName>
    <definedName name="UniverseIndex30EVICInflationAdjustedWACI" localSheetId="5">OFFSET('I. ESG Factors Report - FI (3)'!#REF!,,,COUNTIF('I. ESG Factors Report - FI (3)'!#REF!,"&lt;&gt;"))</definedName>
    <definedName name="UniverseIndex30EVICInflationAdjustedWACI">OFFSET(#REF!,,,COUNTIF(#REF!,"&lt;&gt;"))</definedName>
    <definedName name="UniverseIndexWACI" localSheetId="6">OFFSET(Appendices!#REF!,,,COUNTIF(Appendices!#REF!,"&lt;&gt;"))</definedName>
    <definedName name="UniverseIndexWACI" localSheetId="0">OFFSET('Front Cover'!#REF!,,,COUNTIF('Front Cover'!#REF!,"&lt;&gt;"))</definedName>
    <definedName name="UniverseIndexWACI" localSheetId="2">OFFSET('I. ESG Factors Report - Equity'!#REF!,,,COUNTIF('I. ESG Factors Report - Equity'!#REF!,"&lt;&gt;"))</definedName>
    <definedName name="UniverseIndexWACI" localSheetId="3">OFFSET('I. ESG Factors Report - FI (1)'!#REF!,,,COUNTIF('I. ESG Factors Report - FI (1)'!#REF!,"&lt;&gt;"))</definedName>
    <definedName name="UniverseIndexWACI" localSheetId="4">OFFSET('I. ESG Factors Report - FI (2)'!#REF!,,,COUNTIF('I. ESG Factors Report - FI (2)'!#REF!,"&lt;&gt;"))</definedName>
    <definedName name="UniverseIndexWACI" localSheetId="5">OFFSET('I. ESG Factors Report - FI (3)'!#REF!,,,COUNTIF('I. ESG Factors Report - FI (3)'!#REF!,"&lt;&gt;"))</definedName>
    <definedName name="UniverseIndexWACI">OFFSET(#REF!,,,COUNTIF(#REF!,"&lt;&gt;"))</definedName>
  </definedNames>
  <calcPr calcId="191028"/>
  <extLst>
    <ext xmlns:x14="http://schemas.microsoft.com/office/spreadsheetml/2009/9/main" uri="{79F54976-1DA5-4618-B147-4CDE4B953A38}">
      <x14:workbookPr defaultImageDpi="330"/>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0" i="52" l="1"/>
  <c r="I10" i="51"/>
  <c r="M38" i="50"/>
  <c r="M37" i="50"/>
  <c r="M31" i="50"/>
  <c r="M28" i="50"/>
  <c r="I12" i="50"/>
  <c r="I12" i="51" s="1"/>
  <c r="I18" i="50" l="1"/>
  <c r="I18" i="51" s="1"/>
  <c r="I19" i="50"/>
  <c r="I19" i="52" s="1"/>
  <c r="K18" i="50"/>
  <c r="K18" i="51" s="1"/>
  <c r="K19" i="50"/>
  <c r="K19" i="51" s="1"/>
  <c r="I8" i="50"/>
  <c r="I8" i="51" s="1"/>
  <c r="I16" i="50"/>
  <c r="I16" i="52" s="1"/>
  <c r="M27" i="50"/>
  <c r="M25" i="50"/>
  <c r="M33" i="50"/>
  <c r="I12" i="52"/>
  <c r="W19" i="50"/>
  <c r="I14" i="50"/>
  <c r="M35" i="50"/>
  <c r="I16" i="51" l="1"/>
  <c r="K19" i="52"/>
  <c r="K18" i="52"/>
  <c r="I19" i="51"/>
  <c r="I18" i="52"/>
  <c r="I8" i="52"/>
  <c r="M42" i="50"/>
  <c r="I14" i="52"/>
  <c r="M57" i="52" s="1"/>
  <c r="M62" i="50"/>
  <c r="M59" i="50"/>
  <c r="M77" i="50"/>
  <c r="M60" i="50"/>
  <c r="M76" i="50"/>
  <c r="M74" i="50"/>
  <c r="M55" i="50"/>
  <c r="M56" i="50" s="1"/>
  <c r="M72" i="50"/>
  <c r="M69" i="50"/>
  <c r="M50" i="50"/>
  <c r="M67" i="50"/>
  <c r="M48" i="50"/>
  <c r="I14" i="51"/>
  <c r="M64" i="50"/>
  <c r="M53" i="50"/>
  <c r="M70" i="50"/>
  <c r="M51" i="50"/>
  <c r="M65" i="50"/>
  <c r="M41" i="50"/>
  <c r="M40" i="50"/>
  <c r="B5" i="53"/>
  <c r="B4" i="53"/>
  <c r="B2" i="53"/>
  <c r="M34" i="52"/>
  <c r="M33" i="52"/>
  <c r="W19" i="52"/>
  <c r="W19" i="51"/>
  <c r="I12" i="40"/>
  <c r="B5" i="37"/>
  <c r="A5" i="37" s="1"/>
  <c r="M60" i="52" l="1"/>
  <c r="M57" i="50"/>
  <c r="M31" i="52"/>
  <c r="M62" i="52"/>
  <c r="Q32" i="51"/>
  <c r="Q33" i="51"/>
  <c r="Q25" i="52"/>
  <c r="Q57" i="52"/>
  <c r="Q41" i="52"/>
  <c r="Q26" i="52"/>
  <c r="Q31" i="52"/>
  <c r="Q62" i="52"/>
  <c r="Q52" i="52"/>
  <c r="M27" i="51"/>
  <c r="M25" i="51"/>
  <c r="M61" i="51"/>
  <c r="M43" i="51"/>
  <c r="M41" i="52"/>
  <c r="M36" i="51"/>
  <c r="M41" i="51"/>
  <c r="M39" i="52"/>
  <c r="M51" i="51"/>
  <c r="M55" i="52"/>
  <c r="M35" i="51"/>
  <c r="M55" i="51"/>
  <c r="M56" i="51"/>
  <c r="M62" i="51"/>
  <c r="M28" i="52"/>
  <c r="M25" i="52"/>
  <c r="M26" i="52" s="1"/>
  <c r="M53" i="51"/>
  <c r="M54" i="52"/>
  <c r="Q53" i="50"/>
  <c r="M38" i="51"/>
  <c r="M36" i="52"/>
  <c r="M58" i="51"/>
  <c r="M40" i="51"/>
  <c r="M59" i="51"/>
  <c r="M38" i="52"/>
  <c r="M59" i="52"/>
  <c r="M29" i="51"/>
  <c r="M45" i="51"/>
  <c r="M30" i="51"/>
  <c r="M46" i="51"/>
  <c r="M43" i="52"/>
  <c r="M64" i="52"/>
  <c r="M32" i="51"/>
  <c r="M33" i="51" s="1"/>
  <c r="M48" i="51"/>
  <c r="M44" i="52"/>
  <c r="M65" i="52"/>
  <c r="M50" i="51"/>
  <c r="M29" i="52"/>
  <c r="M52" i="52"/>
  <c r="B4" i="37"/>
  <c r="A4" i="37" s="1"/>
  <c r="B3" i="37"/>
  <c r="A3" i="37" s="1"/>
  <c r="Q35" i="50" l="1"/>
  <c r="Q31" i="50"/>
  <c r="Q72" i="50"/>
  <c r="Q25" i="50"/>
  <c r="Q33" i="50"/>
  <c r="I6" i="40"/>
  <c r="M39" i="40"/>
  <c r="I8" i="40" l="1"/>
  <c r="I21" i="40" s="1"/>
  <c r="I136" i="40" l="1"/>
  <c r="I87" i="40"/>
  <c r="I104" i="40"/>
  <c r="I88" i="40"/>
  <c r="I137" i="40"/>
  <c r="I103" i="40"/>
  <c r="I92" i="40"/>
  <c r="I133" i="40"/>
  <c r="I102" i="40"/>
  <c r="I132" i="40"/>
  <c r="I100" i="40"/>
  <c r="I131" i="40"/>
  <c r="I135" i="40"/>
  <c r="I99" i="40"/>
  <c r="I105" i="40"/>
  <c r="B28" i="40"/>
  <c r="I145" i="40"/>
  <c r="I84" i="40"/>
  <c r="I49" i="40"/>
  <c r="I73" i="40"/>
  <c r="I151" i="40"/>
  <c r="I41" i="40"/>
  <c r="I94" i="40"/>
  <c r="I90" i="40"/>
  <c r="I75" i="40"/>
  <c r="I46" i="40"/>
  <c r="I33" i="40"/>
  <c r="I30" i="40"/>
  <c r="I86" i="40"/>
  <c r="I79" i="40"/>
  <c r="I51" i="40"/>
  <c r="I78" i="40"/>
  <c r="I36" i="40"/>
  <c r="I76" i="40"/>
  <c r="I48" i="40"/>
  <c r="I35" i="40"/>
  <c r="I98" i="40"/>
  <c r="I162" i="40"/>
  <c r="I83" i="40"/>
  <c r="I45" i="40"/>
  <c r="I157" i="40"/>
  <c r="I42" i="40"/>
  <c r="I38" i="40"/>
  <c r="I163" i="40"/>
  <c r="I43" i="40"/>
  <c r="I156" i="40"/>
  <c r="I129" i="40"/>
  <c r="I52" i="40"/>
  <c r="I150" i="40"/>
  <c r="I62" i="40"/>
  <c r="I71" i="40" s="1"/>
  <c r="I60" i="40"/>
  <c r="K143" i="40"/>
  <c r="K127" i="40"/>
  <c r="I122" i="40"/>
  <c r="I120" i="40"/>
  <c r="K71" i="40"/>
  <c r="I66" i="40"/>
  <c r="I64" i="40"/>
  <c r="K28" i="40"/>
  <c r="K21" i="40"/>
  <c r="W3" i="40"/>
  <c r="W57" i="40" s="1"/>
  <c r="K131" i="40" l="1"/>
  <c r="K105" i="40"/>
  <c r="K87" i="40"/>
  <c r="K104" i="40"/>
  <c r="K136" i="40"/>
  <c r="K137" i="40"/>
  <c r="K88" i="40"/>
  <c r="K103" i="40"/>
  <c r="M103" i="40" s="1"/>
  <c r="K135" i="40"/>
  <c r="K92" i="40"/>
  <c r="K102" i="40"/>
  <c r="K133" i="40"/>
  <c r="K132" i="40"/>
  <c r="K99" i="40"/>
  <c r="K100" i="40"/>
  <c r="K76" i="40"/>
  <c r="K163" i="40"/>
  <c r="K169" i="40" s="1"/>
  <c r="K46" i="40"/>
  <c r="M46" i="40" s="1"/>
  <c r="K33" i="40"/>
  <c r="K43" i="40"/>
  <c r="K145" i="40"/>
  <c r="K162" i="40"/>
  <c r="K168" i="40" s="1"/>
  <c r="K83" i="40"/>
  <c r="K157" i="40"/>
  <c r="K73" i="40"/>
  <c r="K38" i="40"/>
  <c r="K51" i="40"/>
  <c r="K79" i="40"/>
  <c r="K49" i="40"/>
  <c r="K78" i="40"/>
  <c r="K48" i="40"/>
  <c r="K35" i="40"/>
  <c r="K75" i="40"/>
  <c r="K30" i="40"/>
  <c r="K98" i="40"/>
  <c r="K44" i="40"/>
  <c r="K151" i="40"/>
  <c r="K175" i="40" s="1"/>
  <c r="K36" i="40"/>
  <c r="M36" i="40" s="1"/>
  <c r="K90" i="40"/>
  <c r="K86" i="40"/>
  <c r="K129" i="40"/>
  <c r="K52" i="40"/>
  <c r="K42" i="40"/>
  <c r="M42" i="40" s="1"/>
  <c r="K156" i="40"/>
  <c r="K41" i="40"/>
  <c r="K94" i="40"/>
  <c r="K150" i="40"/>
  <c r="K174" i="40" s="1"/>
  <c r="K84" i="40"/>
  <c r="I23" i="40"/>
  <c r="K181" i="40"/>
  <c r="K180" i="40"/>
  <c r="K23" i="40"/>
  <c r="K96" i="40"/>
  <c r="K91" i="40"/>
  <c r="K95" i="40"/>
  <c r="K81" i="40"/>
  <c r="K82" i="40"/>
  <c r="K45" i="40"/>
  <c r="I116" i="40"/>
  <c r="I118" i="40"/>
  <c r="I28" i="40"/>
  <c r="W113" i="40"/>
  <c r="W3" i="34"/>
  <c r="M23" i="40" l="1"/>
  <c r="M45" i="40"/>
  <c r="M102" i="40"/>
  <c r="I96" i="40"/>
  <c r="M98" i="40"/>
  <c r="I180" i="40"/>
  <c r="I181" i="40"/>
  <c r="I169" i="40"/>
  <c r="I175" i="40"/>
  <c r="I168" i="40"/>
  <c r="I174" i="40"/>
  <c r="I91" i="40"/>
  <c r="M86" i="40"/>
  <c r="M94" i="40"/>
  <c r="M33" i="40"/>
  <c r="M30" i="40"/>
  <c r="M135" i="40"/>
  <c r="I95" i="40"/>
  <c r="M129" i="40"/>
  <c r="M84" i="40"/>
  <c r="M90" i="40"/>
  <c r="M131" i="40"/>
  <c r="M79" i="40"/>
  <c r="M83" i="40"/>
  <c r="M78" i="40"/>
  <c r="I82" i="40"/>
  <c r="M82" i="40" s="1"/>
  <c r="I81" i="40"/>
  <c r="M81" i="40" s="1"/>
  <c r="M76" i="40"/>
  <c r="M52" i="40"/>
  <c r="M75" i="40"/>
  <c r="M51" i="40"/>
  <c r="M49" i="40"/>
  <c r="M48" i="40"/>
  <c r="M73" i="40"/>
  <c r="I44" i="40"/>
  <c r="M44" i="40" s="1"/>
  <c r="M43" i="40"/>
  <c r="M41" i="40"/>
  <c r="M38" i="40"/>
  <c r="M35" i="40"/>
  <c r="I143" i="40"/>
  <c r="I127" i="40"/>
</calcChain>
</file>

<file path=xl/sharedStrings.xml><?xml version="1.0" encoding="utf-8"?>
<sst xmlns="http://schemas.openxmlformats.org/spreadsheetml/2006/main" count="1095" uniqueCount="669">
  <si>
    <t>S&amp;P Dow Jones Indices Equity EU Low Carbon Benchmark Regulation Disclosure Report</t>
  </si>
  <si>
    <t>September 2025</t>
  </si>
  <si>
    <t>The EU Benchmark Regulation, as amended by the EU Regulation on Climate Transition Benchmarks, EU Paris-aligned Benchmarks and sustainability-related disclosures for benchmarks, came into effect in December 2020 (the EU Low Carbon Benchmark Regulation). The EU Low Carbon Benchmark Regulation mandated various sustainability-related disclosures for Benchmark Administrators.</t>
  </si>
  <si>
    <t xml:space="preserve">Explanation of how ESG factors are reflected in the benchmark statement
</t>
  </si>
  <si>
    <r>
      <t>S&amp;P Dow Jones Indices’ ESG disclosure under Regulation (EU) 2020/1816</t>
    </r>
    <r>
      <rPr>
        <vertAlign val="superscript"/>
        <sz val="12"/>
        <color rgb="FF000000"/>
        <rFont val="Arial"/>
        <family val="2"/>
      </rPr>
      <t xml:space="preserve">1
</t>
    </r>
    <r>
      <rPr>
        <sz val="12"/>
        <color rgb="FF000000"/>
        <rFont val="Arial"/>
        <family val="2"/>
      </rPr>
      <t xml:space="preserve">
This report supplements S&amp;P Dow Jones Indices’ disclosures under Delegated Regulation (EU) 2020/1816 (Delegated Regulation), which supplements Regulation (EU) 2016/1011</t>
    </r>
    <r>
      <rPr>
        <vertAlign val="superscript"/>
        <sz val="12"/>
        <color rgb="FF000000"/>
        <rFont val="Arial"/>
        <family val="2"/>
      </rPr>
      <t>2</t>
    </r>
    <r>
      <rPr>
        <sz val="12"/>
        <color rgb="FF000000"/>
        <rFont val="Arial"/>
        <family val="2"/>
      </rPr>
      <t xml:space="preserve"> of the European Parliament and of the Council. An explanation is provided in the Benchmark Statement of how Environmental, Social and Governance factors are reflected in each benchmark.
The index-level ESG metrics for relevant indices are provided in accordance with the Delegated Regulation. 
</t>
    </r>
  </si>
  <si>
    <r>
      <rPr>
        <b/>
        <sz val="14"/>
        <color theme="1"/>
        <rFont val="Arial"/>
        <family val="2"/>
      </rPr>
      <t>Contents:</t>
    </r>
    <r>
      <rPr>
        <b/>
        <sz val="12"/>
        <color theme="1"/>
        <rFont val="Arial"/>
        <family val="2"/>
      </rPr>
      <t xml:space="preserve">
</t>
    </r>
    <r>
      <rPr>
        <b/>
        <sz val="12"/>
        <color rgb="FFC00000"/>
        <rFont val="Arial"/>
        <family val="2"/>
      </rPr>
      <t>I. Consideration of ESG Factors</t>
    </r>
    <r>
      <rPr>
        <sz val="12"/>
        <color theme="1"/>
        <rFont val="Arial"/>
        <family val="2"/>
      </rPr>
      <t xml:space="preserve">
Delegated Regulation 2020/1816 specifies ESG metrics to be disclosed for ‘equity’, ‘fixed income’, ‘sovereign debt’, ‘commodity’ and ‘other’ asset class indices. The information disclosed in this section relates to the components of the Paris-Aligned or Climate Transition index that are minimum requirements for EU Paris-Aligned Benchmarks ('EU PAB') or Climate Transition Benchmarks ('EU CTB'), as defined by Regulation (EU) 2019/2089 of the European Parliament and of the Council of 27 November 2019 amending Regulation (EU) 2016/1011 as regards EU Climate Transition Benchmarks, EU Paris-aligned Benchmarks and sustainability-related disclosures for benchmarks ('the Regulation' hereafter).</t>
    </r>
  </si>
  <si>
    <r>
      <rPr>
        <b/>
        <sz val="12"/>
        <color rgb="FFC00000"/>
        <rFont val="Arial"/>
        <family val="2"/>
      </rPr>
      <t>II. Additional Disclosure Requirements for EU CTBs and EU PABs</t>
    </r>
    <r>
      <rPr>
        <b/>
        <sz val="12"/>
        <color theme="1"/>
        <rFont val="Arial"/>
        <family val="2"/>
      </rPr>
      <t xml:space="preserve">
</t>
    </r>
    <r>
      <rPr>
        <sz val="12"/>
        <color theme="1"/>
        <rFont val="Arial"/>
        <family val="2"/>
      </rPr>
      <t>Additional index-level metrics for EU CTBs and EU PABs as required by Section 2 of Annex I Regulation (EU) 2020/1816</t>
    </r>
    <r>
      <rPr>
        <b/>
        <sz val="12"/>
        <color theme="1"/>
        <rFont val="Arial"/>
        <family val="2"/>
      </rPr>
      <t>.</t>
    </r>
  </si>
  <si>
    <t>To learn more about the EU Low Carbon Benchmark Regulation as it relates to S&amp;P DJI, please refer to the following resources:</t>
  </si>
  <si>
    <t>Frequently Asked Questions: EU Low Carbon Benchmark Regulation</t>
  </si>
  <si>
    <t>Frequently Asked Questions S&amp;P DJI’s Approach to the EU Low Carbon Benchmark Regulation Disclosure Requirements</t>
  </si>
  <si>
    <t>https://eur-lex.europa.eu/legal-content/EN/TXT/?uri=CELEX:32020R1816</t>
  </si>
  <si>
    <t>https://eur-lex.europa.eu/legal-content/EN/TXT/?uri=CELEX:32019R2089</t>
  </si>
  <si>
    <t>Note</t>
  </si>
  <si>
    <t>This report provides index-level ESG metrics for the VanEck ESG indices. </t>
  </si>
  <si>
    <t xml:space="preserve">The VanEck Multi-Asset Allocation Indices are indices of indices (‘IOIs’), composites of 4 constituent indices which these disclosures cover. The weight allocation of each component is shown below: </t>
  </si>
  <si>
    <t xml:space="preserve">Underlying Index Name </t>
  </si>
  <si>
    <t>Ticker(BBG/Refinitiv RIC)</t>
  </si>
  <si>
    <t>Multi-Asset Conservative Allocation Index Weights</t>
  </si>
  <si>
    <t>Multi-Asset Balanced Allocation Index Weights</t>
  </si>
  <si>
    <t>Multi-Asset Growth Allocation Index Weights</t>
  </si>
  <si>
    <t>Asset Type</t>
  </si>
  <si>
    <t>GPR Global100 Index</t>
  </si>
  <si>
    <t>GPR100GI/GPR100GI</t>
  </si>
  <si>
    <t>Equity</t>
  </si>
  <si>
    <t>Solative Sustainable World Equity Index GTR</t>
  </si>
  <si>
    <t>TTMTTSWE/.TSWE</t>
  </si>
  <si>
    <t>Markit iBoxx EUR Liquid Sovereigns Diversified 1-10</t>
  </si>
  <si>
    <t>IES11TR/.IBLEU0029</t>
  </si>
  <si>
    <t>Fixed Income</t>
  </si>
  <si>
    <t>iBoxx SD-KPI EUR Liqid Corporate Index</t>
  </si>
  <si>
    <t>IBXXELTR/.IBXXELTR</t>
  </si>
  <si>
    <t>For ESG disclosures, we calculate metrics for each equity and fixed income component as separate indices, in accordance with regulatory requirements specific to each asset class.</t>
  </si>
  <si>
    <t>S&amp;P Dow Jones Indices Equity EU Low Carbon Benchmark Regulation Metrics</t>
  </si>
  <si>
    <t>Methodology:</t>
  </si>
  <si>
    <t>S&amp;P DJI Sustainability Metrics Reference Guide</t>
  </si>
  <si>
    <t>Universe Index:</t>
  </si>
  <si>
    <t>Please select Index here:</t>
  </si>
  <si>
    <t>GPR Global 100 Index</t>
  </si>
  <si>
    <t>Rebalance Effective Date:</t>
  </si>
  <si>
    <t>I. Consideration of ESG Factors Metrics</t>
  </si>
  <si>
    <t xml:space="preserve">The information in this section relates to the disclosure of ESG factors in the Benchmark Statement, as specified under Commission Delegated Regulation (EU) 2020/1816, specifically the ESG metrics to be disclosed for ‘equity’, ‘fixed income’, ‘sovereign debt’, ‘commodity’ and ‘other’ asset class indices under the 'Consideration of ESG Factors'. The metrics required for ‘equity’ benchmarks are outlined in Annex II of Delegated Regulation 2020/1816, and shown and disclosed in the table below, alongside the metric used by S&amp;P DJI. For more information on how the metrics in this report are calculated, please review the S&amp;P DJI Sustainability Metrics Reference Guide. </t>
  </si>
  <si>
    <t>Combined ESG Factors</t>
  </si>
  <si>
    <t>EU Benchmark Regulation 'ESG Factors'</t>
  </si>
  <si>
    <t>Relative to Universe Index</t>
  </si>
  <si>
    <t>S&amp;P DJI ESG Metric</t>
  </si>
  <si>
    <t>S&amp;P DJI 
Metric ESG ID</t>
  </si>
  <si>
    <t>S&amp;P DJI Sustainability Metric Reference Guide</t>
  </si>
  <si>
    <t>S&amp;P DJI ESG Metric Description</t>
  </si>
  <si>
    <t>Weighted average ESG rating of the benchmark (voluntary).</t>
  </si>
  <si>
    <t>Weighted-Average ESG Score</t>
  </si>
  <si>
    <t>[SP-ESG-1]</t>
  </si>
  <si>
    <t>An index-weighted average of the ESG score of index constituents. 
Scores range between 0 (worst) and 100 (best).</t>
  </si>
  <si>
    <t>Environmental Factors</t>
  </si>
  <si>
    <t>Weighted average environmental rating of the benchmark (voluntary).</t>
  </si>
  <si>
    <t>Weighted-Average Environmental Score</t>
  </si>
  <si>
    <t>[SP-ESG-2E]</t>
  </si>
  <si>
    <t>An index-weighted average of the Environmental score of index constituents. 
Scores range between 0 (worst) and 100 (best).</t>
  </si>
  <si>
    <t>Exposure of the benchmark portfolio to climate-related physical risks, measuring the effects of extreme weather events on companies’ operations and production or on the different stages of the supply chain (based on issuer exposure) (voluntary).</t>
  </si>
  <si>
    <t>Weighted-Average Physical Risk Score</t>
  </si>
  <si>
    <t>[SP-ENV-4]</t>
  </si>
  <si>
    <t>An index-weighted average of index constituent Composite Physical Risk Scores. 
Scores range between 0 (best) and 100 (worst).</t>
  </si>
  <si>
    <t>Degree of exposure of the portfolio to the sectors listed in Sections A to H and Section L of Annex I to Regulation (EC) No 1893/2006 of the European Parliament and of the Council as a percentage of the total weight in the portfolio.</t>
  </si>
  <si>
    <r>
      <t xml:space="preserve">High Climate Impact NACE Sections Exposure 
</t>
    </r>
    <r>
      <rPr>
        <sz val="12"/>
        <color theme="1"/>
        <rFont val="Arial"/>
        <family val="2"/>
      </rPr>
      <t>(Weighted Revenues, %)</t>
    </r>
    <r>
      <rPr>
        <b/>
        <sz val="12"/>
        <color theme="1"/>
        <rFont val="Arial"/>
        <family val="2"/>
      </rPr>
      <t xml:space="preserve">
</t>
    </r>
    <r>
      <rPr>
        <sz val="12"/>
        <color theme="1"/>
        <rFont val="Arial"/>
        <family val="2"/>
      </rPr>
      <t>(Constituent Coverage, %)</t>
    </r>
  </si>
  <si>
    <t>[SP-ENV-7]</t>
  </si>
  <si>
    <t>Measures the index's average percentage of constituent revenues derived from High Climate Impact NACE Sections, and the '(Constituent Count)' is the total number of index constituents that derive any revenues from them.</t>
  </si>
  <si>
    <t>[SP-ENV-7a]</t>
  </si>
  <si>
    <t>Greenhouse gas (GHG) intensity of the benchmark.</t>
  </si>
  <si>
    <r>
      <t xml:space="preserve">Carbon-to-Value Footprint 
</t>
    </r>
    <r>
      <rPr>
        <sz val="12"/>
        <color theme="1"/>
        <rFont val="Arial"/>
        <family val="2"/>
      </rPr>
      <t>(Scopes 1, 2 and 3 GHG emissions tCO</t>
    </r>
    <r>
      <rPr>
        <vertAlign val="subscript"/>
        <sz val="12"/>
        <color theme="1"/>
        <rFont val="Arial"/>
        <family val="2"/>
      </rPr>
      <t>2</t>
    </r>
    <r>
      <rPr>
        <sz val="12"/>
        <color theme="1"/>
        <rFont val="Arial"/>
        <family val="2"/>
      </rPr>
      <t>e / Revenue per USDmn Invested)</t>
    </r>
  </si>
  <si>
    <t>[SP-ENV-1]</t>
  </si>
  <si>
    <t>The metric tons of scope 1, 2, and 3 greenhouse gas emissions (tCO2e) are apportioned to the index per USD 1 million invested, using revenue as the apportionment factor.</t>
  </si>
  <si>
    <t>***</t>
  </si>
  <si>
    <t>Percentage of GHG emissions reported
versus estimated.</t>
  </si>
  <si>
    <r>
      <t xml:space="preserve">GHG Emissions Disclosed:
</t>
    </r>
    <r>
      <rPr>
        <sz val="12"/>
        <color theme="1"/>
        <rFont val="Arial"/>
        <family val="2"/>
      </rPr>
      <t>(Index Weight, %);
(Constituent Coverage, %)</t>
    </r>
  </si>
  <si>
    <t>[SP-ENV-2a]</t>
  </si>
  <si>
    <t>The count and index weight of constituents that sufficiently disclose their greenhouse gas emissions, as determined by S&amp;P Global Sustainable1.</t>
  </si>
  <si>
    <r>
      <t xml:space="preserve">GHG Emissions Not Disclosed:
</t>
    </r>
    <r>
      <rPr>
        <sz val="12"/>
        <color theme="1"/>
        <rFont val="Arial"/>
        <family val="2"/>
      </rPr>
      <t>(Index Weight, %);
(Constituent Coverage)</t>
    </r>
  </si>
  <si>
    <t>[SP-ENV-2b]</t>
  </si>
  <si>
    <t>The count and index weight of constituents that do not sufficiently disclose their greenhouse gas emissions, and have them modeled by S&amp;P Global Sustainable1.</t>
  </si>
  <si>
    <r>
      <t xml:space="preserve">GHG Emissions Not Covered:
</t>
    </r>
    <r>
      <rPr>
        <sz val="12"/>
        <color theme="1"/>
        <rFont val="Arial"/>
        <family val="2"/>
      </rPr>
      <t>(Index Weight, %);
(Constituent Coverage, %)</t>
    </r>
  </si>
  <si>
    <t>[SP-ENV-2c]</t>
  </si>
  <si>
    <t>The count and index weight of constituents that are not covered by S&amp;P Global Sustainable1.</t>
  </si>
  <si>
    <t>Exposure of the benchmark portfolio to companies the activities of which fall under Divisions 05 to 09, 19 and 20 of Annex I to Regulation (EC) No 1893/2006.</t>
  </si>
  <si>
    <r>
      <t xml:space="preserve">NACE Divisions 05-09, 19 and 20 Exposure 
</t>
    </r>
    <r>
      <rPr>
        <sz val="12"/>
        <color theme="1"/>
        <rFont val="Arial"/>
        <family val="2"/>
      </rPr>
      <t>(Weighted Revenues, %)</t>
    </r>
    <r>
      <rPr>
        <b/>
        <sz val="12"/>
        <color theme="1"/>
        <rFont val="Arial"/>
        <family val="2"/>
      </rPr>
      <t xml:space="preserve">
</t>
    </r>
    <r>
      <rPr>
        <sz val="12"/>
        <color theme="1"/>
        <rFont val="Arial"/>
        <family val="2"/>
      </rPr>
      <t>(Constituent Coverage, %)</t>
    </r>
  </si>
  <si>
    <t>[SP-ENV-8]</t>
  </si>
  <si>
    <t>A measure of the index's average percentage of constituent revenues that are derived from business activities that fall under NACE Divisions 05 to 09, 19 and 20, and the '(Constituent Count)' is the total number of index constituents that derive any revenues from the same.</t>
  </si>
  <si>
    <t>[SP-ENV-8a]</t>
  </si>
  <si>
    <t>Exposure of the benchmark portfolio to activities included in the environmental goods and services sector, as defined in Article 2, point (5) of Regulation (EU) No 691/2011 of the European Parliament and of the Council.</t>
  </si>
  <si>
    <r>
      <t xml:space="preserve">Green Sectors Exposure 
</t>
    </r>
    <r>
      <rPr>
        <sz val="12"/>
        <color theme="1"/>
        <rFont val="Arial"/>
        <family val="2"/>
      </rPr>
      <t>(Weighted Revenues, %)</t>
    </r>
    <r>
      <rPr>
        <b/>
        <sz val="12"/>
        <color theme="1"/>
        <rFont val="Arial"/>
        <family val="2"/>
      </rPr>
      <t xml:space="preserve">
</t>
    </r>
    <r>
      <rPr>
        <sz val="12"/>
        <color theme="1"/>
        <rFont val="Arial"/>
        <family val="2"/>
      </rPr>
      <t>(Constituent Coverage, %)</t>
    </r>
  </si>
  <si>
    <t>[SP-ENV-5]</t>
  </si>
  <si>
    <t>A measure of the index's average percentage of constituent revenues that are derived from green business activities, as defined by S&amp;P Global Sustainable1. The '(Constituent Coverage)' is the percent of index constituents that derive any revenues from them.</t>
  </si>
  <si>
    <t>[SP-ENV-5a]</t>
  </si>
  <si>
    <t>S&amp;P Dow Jones Indices EU Low Carbon Benchmark Regulation Metrics</t>
  </si>
  <si>
    <t>Index:</t>
  </si>
  <si>
    <t>Index Effective Date:</t>
  </si>
  <si>
    <t>Social Factors</t>
  </si>
  <si>
    <t>Weighted average social rating of the benchmark (voluntary).</t>
  </si>
  <si>
    <t>Weighted-Average Social Score</t>
  </si>
  <si>
    <t>[SP-ESG-2S]</t>
  </si>
  <si>
    <t>An index-weighted average of the Social score of index constituents. 
Scores range between 0 (worst) and 100 (best).</t>
  </si>
  <si>
    <t>Weighted average percentage of benchmark constituents in the controversial weapons sector.</t>
  </si>
  <si>
    <r>
      <t xml:space="preserve">Controversial Weapons Exposure </t>
    </r>
    <r>
      <rPr>
        <sz val="12"/>
        <color theme="1"/>
        <rFont val="Arial"/>
        <family val="2"/>
      </rPr>
      <t>(Index Weight, %)</t>
    </r>
    <r>
      <rPr>
        <b/>
        <sz val="12"/>
        <color theme="1"/>
        <rFont val="Arial"/>
        <family val="2"/>
      </rPr>
      <t xml:space="preserve">
</t>
    </r>
    <r>
      <rPr>
        <sz val="12"/>
        <color theme="1"/>
        <rFont val="Arial"/>
        <family val="2"/>
      </rPr>
      <t>(Constituent Coverage, %)</t>
    </r>
  </si>
  <si>
    <t>[SP-BAC-1]</t>
  </si>
  <si>
    <r>
      <t xml:space="preserve">The index weight and count of constituents involved in controversial weapons-related activities. See the full definition in the </t>
    </r>
    <r>
      <rPr>
        <i/>
        <sz val="12"/>
        <color rgb="FF000000"/>
        <rFont val="Arial"/>
        <family val="2"/>
      </rPr>
      <t>[SP-BAC-1]</t>
    </r>
    <r>
      <rPr>
        <sz val="12"/>
        <color rgb="FF000000"/>
        <rFont val="Arial"/>
        <family val="2"/>
      </rPr>
      <t xml:space="preserve"> metric's section of the S&amp;P DJI Sustainability Metrics Reference Guide for the Controversial Weapons Definition used, as required under the EU BMR.</t>
    </r>
  </si>
  <si>
    <t>Weighted average percentage of benchmark constituents in the tobacco sector.</t>
  </si>
  <si>
    <r>
      <t xml:space="preserve">Tobacco Exposure 
</t>
    </r>
    <r>
      <rPr>
        <sz val="12"/>
        <color theme="1"/>
        <rFont val="Arial"/>
        <family val="2"/>
      </rPr>
      <t>(Index Weight, %)</t>
    </r>
    <r>
      <rPr>
        <b/>
        <sz val="12"/>
        <color theme="1"/>
        <rFont val="Arial"/>
        <family val="2"/>
      </rPr>
      <t xml:space="preserve">
</t>
    </r>
    <r>
      <rPr>
        <sz val="12"/>
        <color theme="1"/>
        <rFont val="Arial"/>
        <family val="2"/>
      </rPr>
      <t>(Constituent Coverage, %)</t>
    </r>
  </si>
  <si>
    <t>[SP-BAC-2]</t>
  </si>
  <si>
    <t>The index weight and count of constituents involved in tobacco-related activities.</t>
  </si>
  <si>
    <t>Number of benchmark constituents subject to social violations (absolute number and relative divided by all benchmark constituents), as referred to in international treaties and conventions, United Nations principles and, where applicable, national law.</t>
  </si>
  <si>
    <r>
      <t xml:space="preserve">S&amp;P Global Media &amp; Stakeholder Analysis (MSA): Active Index Exclusions Exposure 
</t>
    </r>
    <r>
      <rPr>
        <sz val="12"/>
        <rFont val="Arial"/>
        <family val="2"/>
      </rPr>
      <t>(Index Weight, %)</t>
    </r>
    <r>
      <rPr>
        <b/>
        <sz val="12"/>
        <rFont val="Arial"/>
        <family val="2"/>
      </rPr>
      <t xml:space="preserve">
</t>
    </r>
    <r>
      <rPr>
        <sz val="12"/>
        <rFont val="Arial"/>
        <family val="2"/>
      </rPr>
      <t>(Constituent Coverage, %)</t>
    </r>
  </si>
  <si>
    <t>[SP-SVC-1]</t>
  </si>
  <si>
    <t>The count and index weight of index constituents in the index that are otherwise currently excluded in any of S&amp;P DJI’s ESG indices due to S&amp;P Global’s MSA.</t>
  </si>
  <si>
    <r>
      <t xml:space="preserve">Global Standards Screening: Non-Compliant Companies Exposure
</t>
    </r>
    <r>
      <rPr>
        <sz val="12"/>
        <color theme="1"/>
        <rFont val="Arial"/>
        <family val="2"/>
      </rPr>
      <t>(Index Weight, %)
(Constituent Count, %)</t>
    </r>
  </si>
  <si>
    <t>[SP-SVC-2]</t>
  </si>
  <si>
    <t>The index weight and count of index constituents non-compliant with, or in violation of, any of the ten principles of the UNGC, ILO’s Conventions, the UN Guiding Principles on Business and Human Rights, and Chapters of the OECD Guidelines for Multinational Enterprises.</t>
  </si>
  <si>
    <r>
      <t>Exposure of the benchmark portfolio to companies without due diligence policies on issues addressed by the fundamental International Labour Organisation Conventions 1 to 8.</t>
    </r>
    <r>
      <rPr>
        <u/>
        <sz val="12"/>
        <color theme="1"/>
        <rFont val="Arial"/>
        <family val="2"/>
      </rPr>
      <t xml:space="preserve">
</t>
    </r>
  </si>
  <si>
    <r>
      <t xml:space="preserve">Lack of Due Diligence (ILO) Exposure 
</t>
    </r>
    <r>
      <rPr>
        <sz val="12"/>
        <color theme="1"/>
        <rFont val="Arial"/>
        <family val="2"/>
      </rPr>
      <t>(Index Weight, %)</t>
    </r>
    <r>
      <rPr>
        <b/>
        <sz val="12"/>
        <color theme="1"/>
        <rFont val="Arial"/>
        <family val="2"/>
      </rPr>
      <t xml:space="preserve">
</t>
    </r>
    <r>
      <rPr>
        <sz val="12"/>
        <color theme="1"/>
        <rFont val="Arial"/>
        <family val="2"/>
      </rPr>
      <t>(Constituent Count, %)</t>
    </r>
  </si>
  <si>
    <t>[SP-SVC-3]</t>
  </si>
  <si>
    <t>Constituent Coverage</t>
  </si>
  <si>
    <t>Index Weight, %, Covered</t>
  </si>
  <si>
    <t>Weighted average gender pay gap.</t>
  </si>
  <si>
    <t>Weighted-Average Mean Gender Pay Gap</t>
  </si>
  <si>
    <t>[SP-ESG-SFDR-12]</t>
  </si>
  <si>
    <t>An index-weighted average of the average gender pay gap, expressed as a percentage of male employees' average gross hourly earnings.</t>
  </si>
  <si>
    <t>Constituent Coverage, %</t>
  </si>
  <si>
    <t>Weighted average ratio of female to male board members.</t>
  </si>
  <si>
    <t>Weighted-Average Female-to-Male Board Members Ratio</t>
  </si>
  <si>
    <t>[SP-ESG-SFDR-14]</t>
  </si>
  <si>
    <t>An index-weighted average of the ratio of index companies' female-to-male board members. 
A measure less than 1 implies companies in the index, on average, have more male board members than female, and a value greater than 1 implies the opposite.</t>
  </si>
  <si>
    <t xml:space="preserve">Weighted average ratio of accidents, injuries, fatalities.
</t>
  </si>
  <si>
    <r>
      <t xml:space="preserve">Weighted-Average Score of accidents, injuries, fatalities </t>
    </r>
    <r>
      <rPr>
        <sz val="12"/>
        <color rgb="FF000000"/>
        <rFont val="Arial"/>
        <family val="2"/>
      </rPr>
      <t>(Employees and Contractors)</t>
    </r>
  </si>
  <si>
    <t>[SP-ESG-SFDR-15]</t>
  </si>
  <si>
    <t xml:space="preserve">Weighted-Average Total Recordable Injury Rate' is reflected as a score (0-100). This score indicates the average performance of companies in terms of all recordable work-related injuries experienced by their employees and contractors. It includes fatalities, lost time due to injuries, restricted work cases, and medical treatment cases. 
</t>
  </si>
  <si>
    <t>Numbers of convictions and amount of fines for violations of anti-corruption and anti-bribery laws.</t>
  </si>
  <si>
    <t>Total Convictions for Anti-Corruption &amp; Anti-Bribery Violations</t>
  </si>
  <si>
    <t>[SP-ESG-SFDR-16a]</t>
  </si>
  <si>
    <t>The aggregate number of convictions for violations of anti-corruption and anti-bribery laws across all index constituents.</t>
  </si>
  <si>
    <t>Total Value of Fines for Anti-Corruption &amp; Anti-Bribery Violations</t>
  </si>
  <si>
    <t>[SP-ESG-SFDR-16b]</t>
  </si>
  <si>
    <t>The aggregate monetary value of fines, expressed in USD, issued for violations of anti-corruption and anti-bribery laws across all index constituents.</t>
  </si>
  <si>
    <t>Governance Factors</t>
  </si>
  <si>
    <t>Weighted average governance rating of the benchmark (voluntary).</t>
  </si>
  <si>
    <t>Weighted-Average Governance Score</t>
  </si>
  <si>
    <t>[SP-ESG-2G]</t>
  </si>
  <si>
    <t>An index-weighted average of the Governance Score of index constituents. 
Scores range between 0 (worst) and 100 (best).</t>
  </si>
  <si>
    <r>
      <t xml:space="preserve">Weighted average percentage of board members who are independent.
</t>
    </r>
    <r>
      <rPr>
        <u/>
        <sz val="12"/>
        <color theme="1"/>
        <rFont val="Arial"/>
        <family val="2"/>
      </rPr>
      <t xml:space="preserve">
</t>
    </r>
  </si>
  <si>
    <r>
      <t>Weighted-Average Independent Board Members</t>
    </r>
    <r>
      <rPr>
        <sz val="12"/>
        <rFont val="Arial"/>
        <family val="2"/>
      </rPr>
      <t xml:space="preserve"> 
(% of Total)</t>
    </r>
  </si>
  <si>
    <t>[SP-ESG-SFDR-17]</t>
  </si>
  <si>
    <t xml:space="preserve">An index-weighted average of the % of company board members that are independent. </t>
  </si>
  <si>
    <r>
      <t xml:space="preserve">Weighted average percentage of female board members.
</t>
    </r>
    <r>
      <rPr>
        <u/>
        <sz val="12"/>
        <color theme="1"/>
        <rFont val="Arial"/>
        <family val="2"/>
      </rPr>
      <t xml:space="preserve">
</t>
    </r>
  </si>
  <si>
    <r>
      <t xml:space="preserve">Weighted-Average Women Board Members 
</t>
    </r>
    <r>
      <rPr>
        <sz val="12"/>
        <rFont val="Arial"/>
        <family val="2"/>
      </rPr>
      <t>(% of Total)</t>
    </r>
  </si>
  <si>
    <t>[SP-ESG-SFDR-13]</t>
  </si>
  <si>
    <t xml:space="preserve">An index-weighted average of the % of company board members that identify as women. </t>
  </si>
  <si>
    <t>Dataset Coverage Metrics</t>
  </si>
  <si>
    <t>S&amp;P DJI Metric IDs of Relevant Dataset Metrics</t>
  </si>
  <si>
    <t>Dataset Reference</t>
  </si>
  <si>
    <t>Index Constituent Count</t>
  </si>
  <si>
    <t>S&amp;P Global ESG Scores Dataset</t>
  </si>
  <si>
    <r>
      <t xml:space="preserve">Dataset Coverage </t>
    </r>
    <r>
      <rPr>
        <sz val="11"/>
        <color theme="1"/>
        <rFont val="Arial"/>
        <family val="2"/>
      </rPr>
      <t>(Constituent Coverage)</t>
    </r>
  </si>
  <si>
    <t>[SP-ESG-1]; [SP-ESG-2E]; [SP-ESG-2S]; [SP-ESG-2G]</t>
  </si>
  <si>
    <r>
      <t xml:space="preserve">Dataset Coverage </t>
    </r>
    <r>
      <rPr>
        <sz val="11"/>
        <color theme="1"/>
        <rFont val="Arial"/>
        <family val="2"/>
      </rPr>
      <t>(Index Weight)</t>
    </r>
  </si>
  <si>
    <t>S&amp;P Global Sustainable1 Physical Risk Scores Dataset</t>
  </si>
  <si>
    <t>S&amp;P Global Sustainable1 Sector Revenue Dataset</t>
  </si>
  <si>
    <t>[SP-ENV-5]; [SP-ENV-5a]; [SP-ENV-7]; [SP-ENV-7a]; 
[SP-ENV-8]; [SP-ENV-8a]; [SP-BAC-1]; [SP-BAC-2]</t>
  </si>
  <si>
    <t>S&amp;P Global Sustainable1 Environmental Dataset</t>
  </si>
  <si>
    <t>[SP-ENV-1]; [SP-ENV-2a]; [SP-ENV-2b]; [SP-ENV-2c]</t>
  </si>
  <si>
    <t>S&amp;P Global Sustainable1 CSA Raw Data Dataset</t>
  </si>
  <si>
    <t>[SP-ESG-SFDR-12]; [SP-ESG-SFDR-13]; [SP-ESG-SFDR-14];[SP-ESG-SFDR-15]; [SP-ESG-SFDR-16]; [SP-ESG-SFDR-17]</t>
  </si>
  <si>
    <t>Sustainalytics Global Standards Screening Dataset</t>
  </si>
  <si>
    <t>[SP-SVC-2]; [SP-SVC-3]</t>
  </si>
  <si>
    <r>
      <rPr>
        <u/>
        <sz val="10"/>
        <color rgb="FF000000"/>
        <rFont val="Arial"/>
        <family val="2"/>
      </rPr>
      <t>Source</t>
    </r>
    <r>
      <rPr>
        <sz val="10"/>
        <color rgb="FF000000"/>
        <rFont val="Arial"/>
        <family val="2"/>
      </rPr>
      <t>: S&amp;P Dow Jones Indices LLC; S&amp;P Global Sustainable1, Sustainalytics.  Data as of the date of publishing of this report.  Past performance is no guarantee of future results. The Table is provided for illustrative purposes.</t>
    </r>
  </si>
  <si>
    <t>Indices may portray characteristics that seem unintuitive based on their objective (for example, an ESG index may be found to have non-zero involvement in tobacco business activities).  This may be due to the index's methodology defining an exposure or type of involvement in a way that differs to how it is defined in by these metrics.  For more information on how the metrics in this report are calculated,</t>
  </si>
  <si>
    <t xml:space="preserve">please see here: </t>
  </si>
  <si>
    <t>S&amp;P DJI Sustainability Metrics Reference Guide.</t>
  </si>
  <si>
    <t xml:space="preserve">For the S&amp;P Global Sustainable1 Methodology document for the EU Sustainable Finance Disclosure Regulation (SFDR) Dataset, see here: </t>
  </si>
  <si>
    <t>see here:</t>
  </si>
  <si>
    <t>Sustainable1 EU Sustainable Finance Disclosure Regulation (SFDR) Dataset Methodology</t>
  </si>
  <si>
    <t xml:space="preserve">The information in this section relates to the disclosure of ESG factors in the Benchmark Statement, as specified under Commission Delegated Regulation (EU) 2020/1816, specifically the ESG metrics to be disclosed for ‘equity’, ‘fixed income’, ‘sovereign debt’, ‘commodity’ and ‘other’ asset class indices under the 'Consideration of ESG Factors'. The metrics required for ‘fixed income’ (corporate bond) and 'sovereign debt' (sovereign bond) benchmarks are outlined in Annex II of Delegated Regulation 2020/1816, and shown and disclosed in the table below, alongside the metric used by S&amp;P DJI. </t>
  </si>
  <si>
    <t>iBoxx EUR Liquid Sovereign Diversified 1-10</t>
  </si>
  <si>
    <t>&lt;&lt;&lt; Select Index</t>
  </si>
  <si>
    <r>
      <t>Key</t>
    </r>
    <r>
      <rPr>
        <sz val="11"/>
        <color theme="1"/>
        <rFont val="Arial"/>
        <family val="2"/>
      </rPr>
      <t>:</t>
    </r>
  </si>
  <si>
    <t>Metric Asset Class:   'F.I'.   =</t>
  </si>
  <si>
    <t>Corporate 'Fixed Income' EU BMR ESG Factor</t>
  </si>
  <si>
    <t>Index EU BMR Asset Type:</t>
  </si>
  <si>
    <t>Metric Asset Class:   'Sov.'   =</t>
  </si>
  <si>
    <t>'Sovereign Debt' EU BMR ESG Factor</t>
  </si>
  <si>
    <t>Index Constituent Count:</t>
  </si>
  <si>
    <t>Index Weight:</t>
  </si>
  <si>
    <t>Corporates, Collateralized, or Sub-Sovereign Debt:</t>
  </si>
  <si>
    <t>Sovereign Debt:</t>
  </si>
  <si>
    <t>Metric Data Source:</t>
  </si>
  <si>
    <t>Metric 
Asset Class</t>
  </si>
  <si>
    <t>EU Benchmark Regulation 'ESG Factor'</t>
  </si>
  <si>
    <t>Index-level Metric Measure</t>
  </si>
  <si>
    <t>F.I. / Sov. (ESG)</t>
  </si>
  <si>
    <r>
      <rPr>
        <b/>
        <u/>
        <sz val="10"/>
        <color theme="1"/>
        <rFont val="Arial"/>
        <family val="2"/>
      </rPr>
      <t>Dataset Coverage:</t>
    </r>
    <r>
      <rPr>
        <i/>
        <sz val="10"/>
        <color theme="1"/>
        <rFont val="Arial"/>
        <family val="2"/>
      </rPr>
      <t xml:space="preserve">    Constituent Coverage (%):</t>
    </r>
  </si>
  <si>
    <t>Index Weight (%):</t>
  </si>
  <si>
    <t>F.I. / Sov. (Env.)</t>
  </si>
  <si>
    <t>F.I. / Sov. (Soc.)</t>
  </si>
  <si>
    <t>F.I. / Sov. (Gov.)</t>
  </si>
  <si>
    <t>The percentage of underlying fund management companies signed up to international standards.</t>
  </si>
  <si>
    <t>International Standards signature exposures</t>
  </si>
  <si>
    <t>Index Weight of companies that signed up to international standard tracked by data vendors.</t>
  </si>
  <si>
    <t>F.I. (Env.)</t>
  </si>
  <si>
    <r>
      <t xml:space="preserve">High Climate Impact NACE Sector Exposure 
</t>
    </r>
    <r>
      <rPr>
        <sz val="10"/>
        <color theme="1"/>
        <rFont val="Arial"/>
        <family val="2"/>
      </rPr>
      <t>(Index Weight, %)</t>
    </r>
  </si>
  <si>
    <t>The ‘High Climate Impact NACE Sector Exposure’ is the summed index weight of index constituents that are classified into NACE Sections A to H or Section L.</t>
  </si>
  <si>
    <t xml:space="preserve">Carbon-to-Value Footprint
</t>
  </si>
  <si>
    <t>Percentage of GHG emissions reported versus estimated.</t>
  </si>
  <si>
    <t>GHG Emissions Disclosed:</t>
  </si>
  <si>
    <t>The index weight of constituents that sufficiently disclose their greenhouse gas emissions.</t>
  </si>
  <si>
    <t>GHG Emissions Not Disclosed:</t>
  </si>
  <si>
    <t>The index weight of constituents whose greenhouse gas emissions are modeled.</t>
  </si>
  <si>
    <r>
      <t xml:space="preserve">GHG Emissions Not Covered:
</t>
    </r>
    <r>
      <rPr>
        <sz val="10"/>
        <color theme="1"/>
        <rFont val="Arial"/>
        <family val="2"/>
      </rPr>
      <t>(Index Weight, %)</t>
    </r>
  </si>
  <si>
    <t>The index weight of constituents without greenhouse gas emissions data (disclosed or modeled).</t>
  </si>
  <si>
    <r>
      <t xml:space="preserve">High Emitting Sector Exposure 
</t>
    </r>
    <r>
      <rPr>
        <sz val="10"/>
        <rFont val="Arial"/>
        <family val="2"/>
      </rPr>
      <t>(Index Weight, %)</t>
    </r>
  </si>
  <si>
    <t>The ‘High Emitting Sector Exposure’ is the summed index weight of index constituents that are classified into NACE Division 05, 06, 07, 08, 09, 19 or 20.</t>
  </si>
  <si>
    <t>Percentage of green bonds in the benchmark portfolio.</t>
  </si>
  <si>
    <r>
      <t xml:space="preserve">Green Bond Exposure
</t>
    </r>
    <r>
      <rPr>
        <sz val="10"/>
        <color theme="1"/>
        <rFont val="Arial"/>
        <family val="2"/>
      </rPr>
      <t>(Index Weight, %)</t>
    </r>
  </si>
  <si>
    <t>The ‘Green Bond Exposure’ is the summed index weight of index constituents that are classified as green bonds.</t>
  </si>
  <si>
    <t>Sov. (Env.)</t>
  </si>
  <si>
    <t xml:space="preserve">Carbon-to-Value Footprint 
</t>
  </si>
  <si>
    <t>The index weight of constituents that sufficiently disclose their greenhouse gas emissions. All sovereign emissions are estimated.</t>
  </si>
  <si>
    <r>
      <rPr>
        <u/>
        <sz val="8"/>
        <color theme="1"/>
        <rFont val="Arial"/>
        <family val="2"/>
      </rPr>
      <t>Source</t>
    </r>
    <r>
      <rPr>
        <sz val="8"/>
        <color theme="1"/>
        <rFont val="Arial"/>
        <family val="2"/>
      </rPr>
      <t>: S&amp;P Dow Jones Indices; Sustainalytics.; MSCI.  Data as of the date of publishing of this report.  Past performance is no guarantee of future results.  Table is provided for illustrative purposes.</t>
    </r>
  </si>
  <si>
    <t xml:space="preserve">Indices may portray characteristics that seem unintuitive based on their objective (for example, an ESG index may be found to have non-zero involvement in tobacco business activities).  This may be due to the index's methodology defining an exposure or type of involvement in a way that differs to how it is defined in by these metrics.  </t>
  </si>
  <si>
    <t>The information in this section relates to the disclosure of ESG factors in the Benchmark Statement, as specified under Commission Delegated Regulation (EU) 2020/1816, specifically the ESG metrics to be disclosed for ‘equity’, ‘fixed income’, ‘sovereign debt’, ‘commodity’ and ‘other’ asset class indices under the 'Consideration of ESG Factors'. The metrics required for ‘fixed income’ (corporate bond) and 'sovereign debt' (sovereign bond) benchmarks are outlined in Annex II of Delegated Regulation 2020/1816, and shown and disclosed in the table below, alongside the metric used by S&amp;P DJI.</t>
  </si>
  <si>
    <t>F.I. (Soc.)</t>
  </si>
  <si>
    <t xml:space="preserve">Weighted average percentage of benchmark constituents in the controversial weapons sector. </t>
  </si>
  <si>
    <r>
      <t xml:space="preserve">Controversial Weapons Exposure 
</t>
    </r>
    <r>
      <rPr>
        <sz val="10"/>
        <color theme="1"/>
        <rFont val="Arial"/>
        <family val="2"/>
      </rPr>
      <t>(Index Weight, %)</t>
    </r>
  </si>
  <si>
    <t>The summed index weight of constituents involved in controversial weapons-related activities.</t>
  </si>
  <si>
    <r>
      <t xml:space="preserve">Tobacco Exposure 
</t>
    </r>
    <r>
      <rPr>
        <sz val="10"/>
        <color theme="1"/>
        <rFont val="Arial"/>
        <family val="2"/>
      </rPr>
      <t>(Index Weight, %)</t>
    </r>
  </si>
  <si>
    <t>The summed index weight of constituents involved in tobacco-related activities.</t>
  </si>
  <si>
    <t xml:space="preserve">Number of benchmark constituents subject to social violations (absolute number and relative divided by all benchmark constituents), as referred to in international treaties and conventions, United Nations principles or, where applicable, national law. </t>
  </si>
  <si>
    <r>
      <t xml:space="preserve">Social Violations Exposure 
</t>
    </r>
    <r>
      <rPr>
        <sz val="10"/>
        <color theme="1"/>
        <rFont val="Arial"/>
        <family val="2"/>
      </rPr>
      <t>(Constituent Count)</t>
    </r>
  </si>
  <si>
    <r>
      <t xml:space="preserve">Social Violations Exposure 
</t>
    </r>
    <r>
      <rPr>
        <sz val="10"/>
        <color theme="1"/>
        <rFont val="Arial"/>
        <family val="2"/>
      </rPr>
      <t>(Exposure Constituent Count/Total Constituent Count)</t>
    </r>
  </si>
  <si>
    <t xml:space="preserve">Exposure of the benchmark portfolio to companies without due diligence policies on issues addressed by Conventions 1 to 8 of the International Labour Organisation. </t>
  </si>
  <si>
    <r>
      <t xml:space="preserve">Lack of Due Diligence (ILO) Exposure 
</t>
    </r>
    <r>
      <rPr>
        <sz val="10"/>
        <color theme="1"/>
        <rFont val="Arial"/>
        <family val="2"/>
      </rPr>
      <t>(Index Weight, %)</t>
    </r>
  </si>
  <si>
    <t>The summed index weight of constituents without due diligence policies on issues addressed by the ILO's Conventions 1 to 8.</t>
  </si>
  <si>
    <t>Weighted-Average Gender Pay Gap</t>
  </si>
  <si>
    <t xml:space="preserve">The ‘Weighted-Average Gender Pay Gap’ is an index weighted average of the unadjusted gender pay gap, which measures the difference between the average gross hourly earnings of female and male employees, expressed as a percentage of the average gross hourly earnings of male employees.  </t>
  </si>
  <si>
    <t>Weighted-Average Female-to-Male Board Member Ratio</t>
  </si>
  <si>
    <t xml:space="preserve">The 'Weighted-Average Female-to-Male Board Member Ratio’ is an index weighted average of the ratios of the counts of female and male board members for a company. </t>
  </si>
  <si>
    <t>Weighted average ratio of accidents, injuries, fatalities.</t>
  </si>
  <si>
    <t>Weighted-Average Total Recordable Injury Rate</t>
  </si>
  <si>
    <t xml:space="preserve">The 'Weighted-Average Total Recordable Injury Rate’ is an index weighted average of the rate of all recordable work-related injuries suffered by the company’s employees and contractors and includes fatalities, lost time injuries, restricted work cases or medical treatment cases. This metric is expressed as the count of recordable injuries per million hours worked. </t>
  </si>
  <si>
    <t>Numbers of convictions and amount of fines for violations of anti-corruption and anti-bribery laws</t>
  </si>
  <si>
    <t>Number of Convictions for Violations of Anti-Corruption &amp; Anti-Bribery Laws</t>
  </si>
  <si>
    <t>The 'Number of Convictions for Violations of Anti-Corruption &amp; Anti-Bribery Laws' assesses the total number of convictions for violations of anti-corruption and anti-bribery laws per issuer (not bond) and across the issuer's family tree, summed at the index-level.</t>
  </si>
  <si>
    <t>Amount of Fines for Violations of Anti-Corruption &amp; Anti-Bribery Laws (EURmn)</t>
  </si>
  <si>
    <t>The 'Amount of Fines for Violations of Anti-Corruption &amp; Anti-Bribery Laws' assess the total value of fines for violations of anti-corruption and anti-bribery laws per issuer (not bond) and across the issuer's family tree, denominated in Euros, summed at the index-level.</t>
  </si>
  <si>
    <r>
      <rPr>
        <u/>
        <sz val="8"/>
        <color theme="1"/>
        <rFont val="Arial"/>
        <family val="2"/>
      </rPr>
      <t>Source</t>
    </r>
    <r>
      <rPr>
        <sz val="8"/>
        <color theme="1"/>
        <rFont val="Arial"/>
        <family val="2"/>
      </rPr>
      <t>: S&amp;P Dow Jones Indices; Sustainalytics; MSCI.  Data as of the date of publishing of this report.  Past performance is no guarantee of future results.  Table is provided for illustrative purposes.</t>
    </r>
  </si>
  <si>
    <t xml:space="preserve">Indices may portray characteristics that seem unintuitive based on their objective (for example, an ESG index may be found to have non-zero involvement in tobacco business activities).  This may be due to the index's methodology defining an exposure or type of involvement in a way that differs to how it is defined in by these metrics. </t>
  </si>
  <si>
    <t>Sov. (Soc.)</t>
  </si>
  <si>
    <t>Number of benchmark constituents subject to social violations (absolute number and relative number divided by all benchmark constituents), as referred to in international treaties and conventions, United Nations principles and, where applicable, national law.</t>
  </si>
  <si>
    <t>Average human rights performance of the issuers.</t>
  </si>
  <si>
    <t>Weighted-Average Human Rights Score</t>
  </si>
  <si>
    <t xml:space="preserve">Average income inequality score, measuring the distribution of income and economic inequality among the participants in a particular economy. </t>
  </si>
  <si>
    <t>Weighted-Average Income Inequality Score</t>
  </si>
  <si>
    <t xml:space="preserve">The ‘Weighted-Average Income Inequality Score’ is an index weighted average of the Income Inequality Score of index constituents. </t>
  </si>
  <si>
    <t>Average freedom of expression score measuring the extent to which political and civil society organizations can operate freely</t>
  </si>
  <si>
    <t>Weighted-Average Press Freedom Score</t>
  </si>
  <si>
    <t>Sov. (Gov.)</t>
  </si>
  <si>
    <t>Average corruption score measuring the perceived level of public sector corruption.</t>
  </si>
  <si>
    <t>Weighted-Average Corruption Score</t>
  </si>
  <si>
    <t>Average political stability score, measuring the likelihood that the current regime will be overthrown by the use of force.</t>
  </si>
  <si>
    <t>Weighted-Average Political Stability Score</t>
  </si>
  <si>
    <t>Average rule of law score, based on the absence of corruption, respect for fundamental rights, and the state of civil and criminal justice.</t>
  </si>
  <si>
    <t>Weighted-Average Rule of Law Score</t>
  </si>
  <si>
    <t xml:space="preserve">  </t>
  </si>
  <si>
    <t xml:space="preserve">n  </t>
  </si>
  <si>
    <t xml:space="preserve">                </t>
  </si>
  <si>
    <t>Appendices</t>
  </si>
  <si>
    <t>Appendix I: Report Version History</t>
  </si>
  <si>
    <t>Report Issue Month (Version)</t>
  </si>
  <si>
    <t>Change Notes:</t>
  </si>
  <si>
    <t>NOVEMBER 2025</t>
  </si>
  <si>
    <r>
      <rPr>
        <u/>
        <sz val="11"/>
        <color theme="1"/>
        <rFont val="Arial"/>
        <family val="2"/>
      </rPr>
      <t>Index Effective Date:</t>
    </r>
    <r>
      <rPr>
        <sz val="11"/>
        <color theme="1"/>
        <rFont val="Arial"/>
        <family val="2"/>
      </rPr>
      <t xml:space="preserve"> 09/22/2025
</t>
    </r>
    <r>
      <rPr>
        <i/>
        <sz val="11"/>
        <color theme="1"/>
        <rFont val="Arial"/>
        <family val="2"/>
      </rPr>
      <t xml:space="preserve">This report, the S&amp;P Dow Jones Indices EU Low Carbon Benchmark Regulation Disclosure Report, was issued in the new format.
  Previous to its publication, the report took the form of a document shared publicly via the same URL as this version of this report.
Please contact </t>
    </r>
    <r>
      <rPr>
        <i/>
        <u/>
        <sz val="11"/>
        <color theme="1"/>
        <rFont val="Arial"/>
        <family val="2"/>
      </rPr>
      <t>index_services@spglobal.com</t>
    </r>
    <r>
      <rPr>
        <i/>
        <sz val="11"/>
        <color theme="1"/>
        <rFont val="Arial"/>
        <family val="2"/>
      </rPr>
      <t xml:space="preserve"> for older versions of this report.</t>
    </r>
  </si>
  <si>
    <t>Solactive Sustainable World Equity Index</t>
  </si>
  <si>
    <t>Index List</t>
  </si>
  <si>
    <t>Date for General ESG disclosure</t>
  </si>
  <si>
    <t xml:space="preserve">PACT Index:  </t>
  </si>
  <si>
    <t>Optimization / Iterative Selection</t>
  </si>
  <si>
    <t>PA or CT?</t>
  </si>
  <si>
    <t>=concat(PACT Index:,Index Rebalance Reference Date)</t>
  </si>
  <si>
    <t>=concat(PACT Index:,Report Index Date #)</t>
  </si>
  <si>
    <t xml:space="preserve">Universe Index:  </t>
  </si>
  <si>
    <t xml:space="preserve">Methodology:  </t>
  </si>
  <si>
    <t>Methodology URL:</t>
  </si>
  <si>
    <t>SPACE</t>
  </si>
  <si>
    <t>SPACE name</t>
  </si>
  <si>
    <t>SPACE name clean</t>
  </si>
  <si>
    <t>S&amp;P Global BMI</t>
  </si>
  <si>
    <t>VanEck Multi-Asset Allocation Indices Methodology</t>
  </si>
  <si>
    <t>VanEck Multi-Asset Allocation
Indices Methodology</t>
  </si>
  <si>
    <t>Solactive Sustainable World Equity Index GTR</t>
  </si>
  <si>
    <t>S&amp;P Global BMI (USD)</t>
  </si>
  <si>
    <t>Index Rebalance Reference Date</t>
  </si>
  <si>
    <t>Index Rebalance Effective Date</t>
  </si>
  <si>
    <t>Index Key</t>
  </si>
  <si>
    <t>Index Name</t>
  </si>
  <si>
    <t>Index Code</t>
  </si>
  <si>
    <t>Effective Date</t>
  </si>
  <si>
    <t>Data As Of</t>
  </si>
  <si>
    <t>Index-Level ESG Score(Weighted Average)</t>
  </si>
  <si>
    <t>DATASET COVERAGE_ESG Scores_Constituent Coverage</t>
  </si>
  <si>
    <t>DATASET COVERAGE_ESG Scores_Index Weight</t>
  </si>
  <si>
    <t>Index-Level Environmental Score(Weighted Average)</t>
  </si>
  <si>
    <t>DATASET COVERAGE_Environmental Scores_Constituent Coverage</t>
  </si>
  <si>
    <t>DATASET COVERAGE_Environmental Scores_Index Weight</t>
  </si>
  <si>
    <t>DATASET COVERAGE_Physical Risk Scores_Constituent Coverage</t>
  </si>
  <si>
    <t>DATASET COVERAGE_Physical Risk Scores_Index Weight</t>
  </si>
  <si>
    <t>Index-Level Physical Risk Score</t>
  </si>
  <si>
    <t>High Climate Impact NACE Section Exposure_Weighted Revenues</t>
  </si>
  <si>
    <t>High Climate Impact NACE Section Exposure_Constituent Coverage</t>
  </si>
  <si>
    <t>NACE 5_9 19_20 Division Exposure_Weighted Revenues</t>
  </si>
  <si>
    <t>NACE 5_9 19_20 Division Exposure_Constituent Coverage</t>
  </si>
  <si>
    <t>DATASET COVERAGE_Trucost Sector Revenues_Constituent Coverage</t>
  </si>
  <si>
    <t>DATASET COVERAGE_Trucost Sector Revenues_Index Weight</t>
  </si>
  <si>
    <t>GHG intensity(Scope 1,2,3/Revenue)</t>
  </si>
  <si>
    <t>Disclosed GHG Emissions_Constituent Coverage</t>
  </si>
  <si>
    <t>Disclosed GHG Emissions_Index Weight</t>
  </si>
  <si>
    <t>Not Disclosed GHG Emissions_Constituent Coverage</t>
  </si>
  <si>
    <t>Not Disclosed GHG Emissions_Index Weight</t>
  </si>
  <si>
    <t>Not Covered GHG Emissions_Constituent Coverage</t>
  </si>
  <si>
    <t>Not Covered GHG Emissions_Index Weight</t>
  </si>
  <si>
    <t>Green Sector Exposure_Weighted Revenues</t>
  </si>
  <si>
    <t>Green Sector Exposure_Constituent Coverage</t>
  </si>
  <si>
    <t>DATASET COVERAGE_Trucost Sector Revenues_Constituent Coverage.1</t>
  </si>
  <si>
    <t>DATASET COVERAGE_Trucost Sector Revenues_Index Weight.1</t>
  </si>
  <si>
    <t>Index-Level Social Score(Weighted Average)</t>
  </si>
  <si>
    <t>DATASET COVERAGE_Social Scores_Constituent Coverage</t>
  </si>
  <si>
    <t>DATASET COVERAGE_Social Scores_Index Weight</t>
  </si>
  <si>
    <t>Active MSA Index Exclusions Exposure_Index Weight</t>
  </si>
  <si>
    <t>Active MSA Index Exclusions Exposure_Constituent Coverage</t>
  </si>
  <si>
    <t>Non-Compliant Exposure_Index Weight</t>
  </si>
  <si>
    <t>Non-Compliant Exposure_Constituent Coverage</t>
  </si>
  <si>
    <t>DATASET COVERAGE_GSS_Constituent Coverage</t>
  </si>
  <si>
    <t>DATASET COVERAGE_GSS_Index Weight</t>
  </si>
  <si>
    <t>SUST_CWs Exposure_Index Weight</t>
  </si>
  <si>
    <t>SUST_CWs Exposure_Constituent Coverage</t>
  </si>
  <si>
    <t>SUST_Tobacco Exposure_Index Weight</t>
  </si>
  <si>
    <t>SUST_Tobacco Exposure_Constituent Coverage</t>
  </si>
  <si>
    <t>DATASET COVERAGE_SUST_PI_Constituent Coverage</t>
  </si>
  <si>
    <t>DATASET COVERAGE_SUST_PI_Index Weight</t>
  </si>
  <si>
    <t>Index-Level Governance Score(Z-score)</t>
  </si>
  <si>
    <t>DATASET COVERAGE_Governance Scores_Constituent Coverage</t>
  </si>
  <si>
    <t>DATASET COVERAGE_Governance Scores_Index Weight</t>
  </si>
  <si>
    <t>Compliant Exposure_Constituent Coverage</t>
  </si>
  <si>
    <t>Compliant Exposure_Index Weight</t>
  </si>
  <si>
    <t>Watchlist Exposure_Constituent Coverage</t>
  </si>
  <si>
    <t>Watchlist Exposure_Index Weight</t>
  </si>
  <si>
    <t>Ratio of Female to Male Board Members</t>
  </si>
  <si>
    <t>DATASET Coverage Ratio of Female to Male Board Members Index Weight</t>
  </si>
  <si>
    <t>DATASET Coverage Ratio of Female to Male Board Members company coverage</t>
  </si>
  <si>
    <t>Gender Pay Gap(ESMA formulat</t>
  </si>
  <si>
    <t>DATASET Coverage Ratio of Gender Pay Gap Index Weight</t>
  </si>
  <si>
    <t>DATASET Coverage Gender Pay Gap company coverage</t>
  </si>
  <si>
    <t>Employees score of  Number of days lost to injuries accidents fatalities or illness</t>
  </si>
  <si>
    <t>DATASET Coverage Ratio of Employees score of  Number of days lost to injuries accidents fatalities or illness Index Weight</t>
  </si>
  <si>
    <t>DATASET Coverage of Employees score of  Number of days lost to injuries accidents fatalities or illness coverage</t>
  </si>
  <si>
    <t>Lack of anti-corruption and anti-bribery policies - Corruption &amp; Bribery Score (0-100)</t>
  </si>
  <si>
    <t>DATASET Coverage Lack of anti-corruption and anti-bribery policies - Corruption &amp; Bribery Score Index Weight</t>
  </si>
  <si>
    <t>DATASET Coverage Lack of anti-corruption and anti-bribery policies - Corruption &amp; Bribery Score Company coverage</t>
  </si>
  <si>
    <t>Women as % of Total Board Members (%)</t>
  </si>
  <si>
    <t>DATASET Coverage Women as % of Total Board Members (%) Index Weight</t>
  </si>
  <si>
    <t>DATASET Coverage Women as % of Total Board Members (%) Company coverage</t>
  </si>
  <si>
    <t>DATASET Coverage SFDR Index Weight</t>
  </si>
  <si>
    <t>DATASET Coverage SFDR Company coverage</t>
  </si>
  <si>
    <t>Index Market Cap</t>
  </si>
  <si>
    <t>Active Share</t>
  </si>
  <si>
    <t>Weighted-average Carbon Intensity_Scope 1+2+3/EVIC_per USDmn Invested</t>
  </si>
  <si>
    <t>Independent Boardmdmber ratio</t>
  </si>
  <si>
    <t>Independent Boardmdmber ratio coverage index weight</t>
  </si>
  <si>
    <t>Independent Boardmdmber ratio coverage company coverage</t>
  </si>
  <si>
    <t>Due Diligence (ILO) Exposure score</t>
  </si>
  <si>
    <t>Due Diligence (ILO) Exposure data coverage index weight</t>
  </si>
  <si>
    <t>Due Diligence (ILO) Exposure data coverage company coverage</t>
  </si>
  <si>
    <t>S1_Tobacco Exposure_Data Coverage Constituent Coverage</t>
  </si>
  <si>
    <t>S1_Tobacco Exposure_Index Weight</t>
  </si>
  <si>
    <t>S1_Tobacco Exposure_Coverage Index Weight</t>
  </si>
  <si>
    <t>S1_CWs Exposure_Data Coverage Constituent Coverage</t>
  </si>
  <si>
    <t>S1_CWs Exposure_Index Weight</t>
  </si>
  <si>
    <t>S1_CWs Exposure_Coverage Index Weight</t>
  </si>
  <si>
    <t>S1_Thermal Coal Exposure_Data Coverage Constituent Coverage</t>
  </si>
  <si>
    <t>S1_Thermal Coal Exposure_Index Weight</t>
  </si>
  <si>
    <t>S1_Thermal Coal Exposure_Coverage Index Weight</t>
  </si>
  <si>
    <t>Weighted-average Carbon Intensity_Scope 1+2/Revenue_per USDmn Invested</t>
  </si>
  <si>
    <t>Weighted-average Carbon Intensity_Scope 1+2+3/Revenue_per USDmn Invested</t>
  </si>
  <si>
    <t>GHG intensity</t>
  </si>
  <si>
    <t>GHG_Disclosed weight</t>
  </si>
  <si>
    <t>GHG/Revenue Covered Index weight</t>
  </si>
  <si>
    <t>GHG/Revenue not Covered Index weight</t>
  </si>
  <si>
    <t>GHG/Revenue Estimated</t>
  </si>
  <si>
    <t>Green Sector Revenue</t>
  </si>
  <si>
    <t>Gender Pay gap(ESMA formulat</t>
  </si>
  <si>
    <t>Conviction amount</t>
  </si>
  <si>
    <t>Fines amount</t>
  </si>
  <si>
    <t>Corruption coverage_x</t>
  </si>
  <si>
    <t>Corruption coverage_y</t>
  </si>
  <si>
    <t>Corruption coverage_y_Constituent Converage</t>
  </si>
  <si>
    <t>Clean index name</t>
  </si>
  <si>
    <t>ESG Index Constituent Count</t>
  </si>
  <si>
    <t>ESG Index-level S&amp;P DJI ESG Score 
[SP-ESG-1]</t>
  </si>
  <si>
    <t>ESG Dataset Coverage: S&amp;P DJI ESG Scores (Constituent Coverage)</t>
  </si>
  <si>
    <t>ESG Dataset Coverage: S&amp;P DJI ESG Scores (Index Weight, %)</t>
  </si>
  <si>
    <t>ESG Index-level S&amp;P DJI Environmental Score
 [SP-ESG-2E]</t>
  </si>
  <si>
    <t>ESG Dataset Coverage: S&amp;P DJI Environmental  Scores (Constituent Coverage)</t>
  </si>
  <si>
    <t>ESG Dataset Coverage: S&amp;P DJI Environmental Scores (Index Weight, %)</t>
  </si>
  <si>
    <t>ESG Dataset Coverage: Physical Risk Scores (Constituent Coverage)</t>
  </si>
  <si>
    <t>ESG Dataset Coverage: Physical Risk Scores (Index Weight, %)</t>
  </si>
  <si>
    <t>ESG Index-level Physical Risk Score
 [SP-ENV-4]</t>
  </si>
  <si>
    <t>ESG High Climate Impact NACE Section Exposure (Weighted Revenues, %) 
[SP-ENV-7]</t>
  </si>
  <si>
    <t>ESG High Climate Impact NACE Section Exposure (Constituent Coverage) 
[SP-ENV-7a]</t>
  </si>
  <si>
    <t>ESG Percentage of PI Consitutent Revenues derived from  NACE Divisions 05-09, 19 and 20</t>
  </si>
  <si>
    <t>ESG Coverage of  PI Consitutents Exposed to NACE Divisions 05-09, 19 and 20</t>
  </si>
  <si>
    <t>ESG Dataset Coverage: Trucost Sector Revenues (Constituent Coverage)</t>
  </si>
  <si>
    <t>ESG Dataset Coverage: Trucost Sector Revenues (Index Weight, %)</t>
  </si>
  <si>
    <t>ESG Index-level Carbon Intensity (Scopes 1+2+3/ Revenue)
[SP-ENV-1]</t>
  </si>
  <si>
    <t>ESG GHG Emissions Disclosed (Constituent Coverage)
[SP-ENV-2a]</t>
  </si>
  <si>
    <t>ESG GHG Emissions Disclosed (Index Weight, %) 
[SP-ENV-2a]</t>
  </si>
  <si>
    <t>ESG GHG Emissions Not Disclosed (Constituent Coverage)
[SP-ENV-2b]</t>
  </si>
  <si>
    <t>ESG GHG Emissions Not Disclosed (Index Weight, %) 
[SP-ENV-2b]</t>
  </si>
  <si>
    <t>ESG GHG Emissions Not Covered (Constituent Coverage)
[SP-ENV-2c]</t>
  </si>
  <si>
    <t>ESG GHG Emissions Not Covered (Index Weight, %)
[SP-ENV-2c]</t>
  </si>
  <si>
    <t>ESG Green Sectors Exposure (Weighted Revenues, %) 
[SP-ENV-5]</t>
  </si>
  <si>
    <t>ESG Green Sectors Exposure (Constituent Coverage)
[SP-ENV-5a]</t>
  </si>
  <si>
    <t>ESG Dataset Coverage: Trucost Sector Revenues (Constituent Coverage)-02</t>
  </si>
  <si>
    <t>ESG Dataset Coverage: Trucost Sector Revenues (Index Weight, %)-02</t>
  </si>
  <si>
    <t>ESG Index-level S&amp;P DJI Social Score
[SP-ESG-2S]</t>
  </si>
  <si>
    <t>ESG Dataset Coverage: S&amp;P DJI Social  Scores (Constituent Count)</t>
  </si>
  <si>
    <t>ESG Dataset Coverage: S&amp;P DJI Social Scores (Index Weight, %)</t>
  </si>
  <si>
    <t>ESG SAM Media and Stakeholder Analysis (MSA): Active Index Exclusions (Index Weight, %)
[SP-SVC-1]</t>
  </si>
  <si>
    <t>ESG SAM Media and Stakeholder Analysis (MSA): Active Index Exclusions (Constituent Coverage)
[SP-SVC-1]</t>
  </si>
  <si>
    <t xml:space="preserve">ESG Global Standards Screening: Non-Compliant Companies (Index Weight, %)
[SP-SVC-3] </t>
  </si>
  <si>
    <t>ESG Global Standards Screening: Non-Compliant Companies (Constituent Coverage)
[SP-SVC-3]</t>
  </si>
  <si>
    <t>ESG Dataset Coverage: Global Standards Screening (Constituent Coverage)</t>
  </si>
  <si>
    <t>ESG Dataset Coverage: Global Standards Screening (Index Weight, %)</t>
  </si>
  <si>
    <t xml:space="preserve">ESG Controversial Weapons Exposure (Index Weight, %)
[SP-BAC-1] </t>
  </si>
  <si>
    <t xml:space="preserve">ESG Controversial Weapons Exposure (Constituent Coverage)
[SP-BAC-1] </t>
  </si>
  <si>
    <t xml:space="preserve">ESG Tobacco Exposure (Index Weight, %)
[SP-BAC-2] </t>
  </si>
  <si>
    <t>ESG Tobacco Exposure (Constituent Coverage)
[SP-BAC-2]</t>
  </si>
  <si>
    <t>ESG Dataset Coverage: Product Involvement (Constituent Coverage)</t>
  </si>
  <si>
    <t>ESG Dataset Coverage: Product Involvement (Index Weight, %)</t>
  </si>
  <si>
    <t>ESG Index-level S&amp;P DJI Governance Score
 [SP-ESG-2E]</t>
  </si>
  <si>
    <t>ESG Dataset Coverage: S&amp;P DJI Governance Scores (Constituent Coverage)</t>
  </si>
  <si>
    <t>ESG Dataset Coverage: S&amp;P DJI Governance Scores (Index Weight, %)</t>
  </si>
  <si>
    <t>Gender Pay Gap</t>
  </si>
  <si>
    <t>DATASET Coverage Lack of anti-corruption and anti-bribery policies - Corruption &amp; Bribery Score Company count</t>
  </si>
  <si>
    <t>Independent Boardmdmber ratio coverage company count</t>
  </si>
  <si>
    <t>TSWE</t>
  </si>
  <si>
    <t>GPR100GI</t>
  </si>
  <si>
    <t>SPGBBMBMI-USDFF--P-RGL---</t>
  </si>
  <si>
    <t>SPCBMIRGLUSD</t>
  </si>
  <si>
    <t>ADJCLS</t>
  </si>
  <si>
    <t>te</t>
  </si>
  <si>
    <t>SUSTAINALYTICS</t>
  </si>
  <si>
    <t>isd_index</t>
  </si>
  <si>
    <t>indexname</t>
  </si>
  <si>
    <t>Date_x</t>
  </si>
  <si>
    <t>Total_bond_count</t>
  </si>
  <si>
    <t>Total Sovereign Bond</t>
  </si>
  <si>
    <t>Total Corporate bond</t>
  </si>
  <si>
    <t>Sovereigns_Index_weight</t>
  </si>
  <si>
    <t>Corporates,Collateralized,Sub-Sovereigns_index_weight</t>
  </si>
  <si>
    <t>benchmark_type</t>
  </si>
  <si>
    <t>Combined ESG Score_score</t>
  </si>
  <si>
    <t>Combined ESG Score_Coverage_Index_weight</t>
  </si>
  <si>
    <t>Combined ESG Score_Coverage_Fraction</t>
  </si>
  <si>
    <t>Combined Environmental Score_score</t>
  </si>
  <si>
    <t>Combined Environmental Score_Coverage_Index_weight</t>
  </si>
  <si>
    <t>Combined Environmental Score_Coverage_Fraction</t>
  </si>
  <si>
    <t>Combined Social Score_score</t>
  </si>
  <si>
    <t>Combined Social Score_Coverage_Index_weight</t>
  </si>
  <si>
    <t>Combined Social Score_Coverage_Fraction</t>
  </si>
  <si>
    <t>Combined Governance Score_score</t>
  </si>
  <si>
    <t>Combined Governance Score_Coverage_Index_weight</t>
  </si>
  <si>
    <t>Combined Governance Score_Coverage_Fraction</t>
  </si>
  <si>
    <t>income_inequality_score</t>
  </si>
  <si>
    <t>income_inequality_Coverage_Index_weight</t>
  </si>
  <si>
    <t>income_inequality_Coverage_Fraction</t>
  </si>
  <si>
    <t>freedom_expression_score</t>
  </si>
  <si>
    <t>freedom_expression_Coverage_Index_weight</t>
  </si>
  <si>
    <t>freedom_expression_Coverage_Fraction</t>
  </si>
  <si>
    <t>gender_pay_gap_score</t>
  </si>
  <si>
    <t>gender_pay_gap_Coverage_Index_weight</t>
  </si>
  <si>
    <t>gender_pay_gap_Coverage_Fraction</t>
  </si>
  <si>
    <t>accidents_injuries_fatalities_score</t>
  </si>
  <si>
    <t>accidents_injuries_fatalities_Coverage_Index_weight</t>
  </si>
  <si>
    <t>accidents_injuries_fatalities_Coverage_Fraction</t>
  </si>
  <si>
    <t>political_stability_score_score</t>
  </si>
  <si>
    <t>political_stability_score_Coverage_Index_weight</t>
  </si>
  <si>
    <t>political_stability_score_Coverage_Fraction</t>
  </si>
  <si>
    <t>rule_of_law_score_score</t>
  </si>
  <si>
    <t>rule_of_law_score_Coverage_Index_weight</t>
  </si>
  <si>
    <t>rule_of_law_score_Coverage_Fraction</t>
  </si>
  <si>
    <t>ghg_intensity_sov</t>
  </si>
  <si>
    <t>ghg_intensity_sov_Coverage_Index_weight</t>
  </si>
  <si>
    <t>ghg_intensity_sov_Coverage_Fraction</t>
  </si>
  <si>
    <t>Negligible_index_weight</t>
  </si>
  <si>
    <t>Low_index_weight</t>
  </si>
  <si>
    <t>Medium_index_weight</t>
  </si>
  <si>
    <t>High_index_weight</t>
  </si>
  <si>
    <t>Severe_index_weight</t>
  </si>
  <si>
    <t>Not Rated_index_weight</t>
  </si>
  <si>
    <t>Controversial Weapons Conventions_score</t>
  </si>
  <si>
    <t>Controversial Weapons Conventions_Coverage_Index_weight</t>
  </si>
  <si>
    <t>Controversial Weapons Conventions_Coverage_Fraction</t>
  </si>
  <si>
    <t>Environmental Conventions_score</t>
  </si>
  <si>
    <t>Environmental Conventions_Coverage_Index_weight</t>
  </si>
  <si>
    <t>Environmental Conventions_Coverage_Fraction</t>
  </si>
  <si>
    <t>Human Rights Conventions_score</t>
  </si>
  <si>
    <t>Human Rights Conventions_Coverage_Index_weight</t>
  </si>
  <si>
    <t>Human Rights Conventions_Coverage_Fraction</t>
  </si>
  <si>
    <t xml:space="preserve"> Labour Rights Conventions_score</t>
  </si>
  <si>
    <t xml:space="preserve"> Labour Rights Conventions_Coverage_Index_weight</t>
  </si>
  <si>
    <t xml:space="preserve"> Labour Rights Conventions_Coverage_Fraction</t>
  </si>
  <si>
    <t>high_climate_impact_nace_Score</t>
  </si>
  <si>
    <t>high_climate_impact_nace_Index_Weight</t>
  </si>
  <si>
    <t>high_climate_impact_nace_Fraction</t>
  </si>
  <si>
    <t>ghg_intensity_corp_score</t>
  </si>
  <si>
    <t>ghg_intensity_corp_Coverage_Index_weight</t>
  </si>
  <si>
    <t>ghg_intensity_corp_Coverage_Fraction</t>
  </si>
  <si>
    <t>ghg_intensity_corp_reported_emission_Coverage</t>
  </si>
  <si>
    <t>energy_mining_nace_score</t>
  </si>
  <si>
    <t>energy_mining_nace_Index_Weight</t>
  </si>
  <si>
    <t>energy_mining_nace_Fraction</t>
  </si>
  <si>
    <t>green_bond_score</t>
  </si>
  <si>
    <t>green_bonds_Coverage_Index_weight</t>
  </si>
  <si>
    <t>green_bonds_Coverage_Fraction</t>
  </si>
  <si>
    <t>Controversial_weapon_score</t>
  </si>
  <si>
    <t>Controversial_weapon_score_Coverage_Index_weight</t>
  </si>
  <si>
    <t>Controversial_weapon_score_Coverage_Fraction</t>
  </si>
  <si>
    <t>Tobacco_score</t>
  </si>
  <si>
    <t>Tobacco_Coverage_Index_weight</t>
  </si>
  <si>
    <t>Tobacco_Coverage_Fraction</t>
  </si>
  <si>
    <t>Social_viloation_corp_score</t>
  </si>
  <si>
    <t>Social_viloation_corp_Coverage_Index_weight</t>
  </si>
  <si>
    <t>Social_viloation_corp_Coverage_Fraction</t>
  </si>
  <si>
    <t>Social_viloation_sov_score</t>
  </si>
  <si>
    <t>Social_viloation_sov_Coverage_Index_weight</t>
  </si>
  <si>
    <t>Social_viloation_sov_Coverage_Fraction</t>
  </si>
  <si>
    <t>Human_rights_score</t>
  </si>
  <si>
    <t>Human_rights_Coverage_Index_weight</t>
  </si>
  <si>
    <t>Human_rights_Coverage_Fraction</t>
  </si>
  <si>
    <t>Ilo_policy_corp_score</t>
  </si>
  <si>
    <t>Ilo_policy_corp_Coverage_Index_weight</t>
  </si>
  <si>
    <t>Ilo_policy_corp_Coverage_Fraction</t>
  </si>
  <si>
    <t>Corruption_score_corp</t>
  </si>
  <si>
    <t>Corruption_score_corp_Coverage_Index_weight</t>
  </si>
  <si>
    <t>Corruption_score_corp_Coverage_Fraction</t>
  </si>
  <si>
    <t>Fines_score_corp</t>
  </si>
  <si>
    <t>Fines_corp_Coverage_Index_weight</t>
  </si>
  <si>
    <t>Fines_corp_Coverage_Fraction</t>
  </si>
  <si>
    <t>female_to_male_board_Score</t>
  </si>
  <si>
    <t>female_to_male_board_Coverage_Index_weight</t>
  </si>
  <si>
    <t>female_to_male_board_Coverage_Fraction</t>
  </si>
  <si>
    <t>Independent_board_Score</t>
  </si>
  <si>
    <t>Independent_board_Coverage_Index_weight</t>
  </si>
  <si>
    <t>Independent_board_Coverage_Fraction</t>
  </si>
  <si>
    <t>Corruption_score_Sov</t>
  </si>
  <si>
    <t>Corruption_Sov_Coverage_Index_weight</t>
  </si>
  <si>
    <t>Corruption_Sov_Coverage_Fraction</t>
  </si>
  <si>
    <t>Methodology</t>
  </si>
  <si>
    <t>Model</t>
  </si>
  <si>
    <t>MSCI</t>
  </si>
  <si>
    <t>Combined ESG Score</t>
  </si>
  <si>
    <t>Combined Environmental Score</t>
  </si>
  <si>
    <t>Combined Social Score</t>
  </si>
  <si>
    <t>Combined Governance Score</t>
  </si>
  <si>
    <t>income_equality_sov</t>
  </si>
  <si>
    <t>income_equality_sov_Coverage_Index_weight</t>
  </si>
  <si>
    <t>income_equality_sov_Coverage_Fraction</t>
  </si>
  <si>
    <t>Press_freedom_sov</t>
  </si>
  <si>
    <t>Press_freedom_sov_Coverage_Index_weight</t>
  </si>
  <si>
    <t>Press_freedom_sov_Coverage_Fraction</t>
  </si>
  <si>
    <t>gender_pay_gap</t>
  </si>
  <si>
    <t>total_recordable_injury_rate</t>
  </si>
  <si>
    <t>total_recordable_injury_rate_Coverage_Index_weight</t>
  </si>
  <si>
    <t>total_recordable_injury_rate_Coverage_Fraction</t>
  </si>
  <si>
    <t>political_stability_score</t>
  </si>
  <si>
    <t>rule_of_law_score</t>
  </si>
  <si>
    <t>reported_emission</t>
  </si>
  <si>
    <t>controvercial_weapons_score</t>
  </si>
  <si>
    <t>controvercial_weapons_Coverage_Index_weight</t>
  </si>
  <si>
    <t>controvercial_weapons_Coverage_Fraction</t>
  </si>
  <si>
    <t>tabaco_score</t>
  </si>
  <si>
    <t>tabaco_Coverage_Index_weight</t>
  </si>
  <si>
    <t>tabaco_Coverage_Fraction</t>
  </si>
  <si>
    <t>social_violations_corp_score</t>
  </si>
  <si>
    <t>social_violations_corp_Coverage_Index_weight</t>
  </si>
  <si>
    <t>social_violations_corp_Coverage_Fraction</t>
  </si>
  <si>
    <t>social_violations_sov_score</t>
  </si>
  <si>
    <t>social_violations_sov_Coverage_Index_weight</t>
  </si>
  <si>
    <t>social_violations_sov_Coverage_Fraction</t>
  </si>
  <si>
    <t>human_rights_sov</t>
  </si>
  <si>
    <t>human_rights_sov_Coverage_Index_weight</t>
  </si>
  <si>
    <t>human_rights_sov_Coverage_Fraction</t>
  </si>
  <si>
    <t>ilo_policy_score_corp</t>
  </si>
  <si>
    <t>ilo_policy_corp_Coverage_Index_weight</t>
  </si>
  <si>
    <t>ilo_policy_corp_Coverage_Fraction</t>
  </si>
  <si>
    <t>corruption_convictions_score</t>
  </si>
  <si>
    <t>corruption_bribery_convictions_Coverage_Index_weight</t>
  </si>
  <si>
    <t>corruption_bribery_convictions_Coverage_Fraction</t>
  </si>
  <si>
    <t>corruption_Fines_score</t>
  </si>
  <si>
    <t>corruption_Fines_Coverage_Index_weight</t>
  </si>
  <si>
    <t>corruption_Fines_convictions_Coverage_Fraction</t>
  </si>
  <si>
    <t>female:male_diversity_ratio</t>
  </si>
  <si>
    <t>female:male_diversity_ratio_Coverage_Index_weight</t>
  </si>
  <si>
    <t>female:male_diversity_ratio_Coverage_Fraction</t>
  </si>
  <si>
    <t>corruption_score_sov</t>
  </si>
  <si>
    <t>corruption_score_sov_Coverage_Index_weight</t>
  </si>
  <si>
    <t>corruption_score_sov_Coverage_Fraction</t>
  </si>
  <si>
    <t>DE000A0S3PK5</t>
  </si>
  <si>
    <t>Sovereign Debt</t>
  </si>
  <si>
    <t>-</t>
  </si>
  <si>
    <t xml:space="preserve">Multi-Asset Allocation Indices Methodology </t>
  </si>
  <si>
    <t>Sustainalytics</t>
  </si>
  <si>
    <t>MKT.DE0009682716.EUR.L.13404</t>
  </si>
  <si>
    <t>iBoxx SD-KPI EUR Liquid Corporates</t>
  </si>
  <si>
    <t>?</t>
  </si>
  <si>
    <t>*</t>
  </si>
  <si>
    <t xml:space="preserve">High Climate Impact NACE Sector Exposure </t>
  </si>
  <si>
    <t xml:space="preserve">Carbon-to-Value Footprint </t>
  </si>
  <si>
    <r>
      <t xml:space="preserve">GHG Emissions Not Covered:
</t>
    </r>
    <r>
      <rPr>
        <sz val="9"/>
        <color theme="1"/>
        <rFont val="Arial"/>
        <family val="2"/>
      </rPr>
      <t>(Index Weight, %)</t>
    </r>
  </si>
  <si>
    <r>
      <t xml:space="preserve">High Emitting Sector Exposure 
</t>
    </r>
    <r>
      <rPr>
        <sz val="9"/>
        <rFont val="Arial"/>
        <family val="2"/>
      </rPr>
      <t>(Index Weight, %)</t>
    </r>
  </si>
  <si>
    <r>
      <t xml:space="preserve">Green Bond Exposure
</t>
    </r>
    <r>
      <rPr>
        <sz val="9"/>
        <color theme="1"/>
        <rFont val="Arial"/>
        <family val="2"/>
      </rPr>
      <t>(Index Weight, %)</t>
    </r>
  </si>
  <si>
    <r>
      <t xml:space="preserve">Carbon-to-Value Footprint 
</t>
    </r>
    <r>
      <rPr>
        <sz val="9"/>
        <color theme="1"/>
        <rFont val="Arial"/>
        <family val="2"/>
      </rPr>
      <t>(GHG emissions 
tCO2e / EURmn GDP)</t>
    </r>
  </si>
  <si>
    <r>
      <t xml:space="preserve">Controversial Weapons Exposure 
</t>
    </r>
    <r>
      <rPr>
        <sz val="9"/>
        <color theme="1"/>
        <rFont val="Arial"/>
        <family val="2"/>
      </rPr>
      <t>(Index Weight, %)</t>
    </r>
  </si>
  <si>
    <r>
      <t xml:space="preserve">Tobacco Exposure 
</t>
    </r>
    <r>
      <rPr>
        <sz val="9"/>
        <color theme="1"/>
        <rFont val="Arial"/>
        <family val="2"/>
      </rPr>
      <t>(Index Weight, %)</t>
    </r>
  </si>
  <si>
    <r>
      <t xml:space="preserve">Social Violations Exposure 
</t>
    </r>
    <r>
      <rPr>
        <sz val="9"/>
        <color theme="1"/>
        <rFont val="Arial"/>
        <family val="2"/>
      </rPr>
      <t>(Constituent Count)</t>
    </r>
  </si>
  <si>
    <r>
      <t xml:space="preserve">Social Violations Exposure 
</t>
    </r>
    <r>
      <rPr>
        <sz val="9"/>
        <color theme="1"/>
        <rFont val="Arial"/>
        <family val="2"/>
      </rPr>
      <t>(Exposure Constituent Count/Total Constituent Count)</t>
    </r>
  </si>
  <si>
    <r>
      <t xml:space="preserve">ILO Conventions Exposure 
</t>
    </r>
    <r>
      <rPr>
        <sz val="9"/>
        <color theme="1"/>
        <rFont val="Arial"/>
        <family val="2"/>
      </rPr>
      <t>(Index Weight, %)</t>
    </r>
  </si>
  <si>
    <t>Amount of Fines for Violations of Anti-Corruption &amp; Anti-Bribery Laws</t>
  </si>
  <si>
    <t xml:space="preserve">The ‘Weighted-Average ESG Score’ is an index weighted average of the Sustainalytics corporate and sovereign ESG Risk Scores of index constituents. The lowest score possible (best) is 0. This metric is a consolidated score including any corporate and sovereign bonds. </t>
  </si>
  <si>
    <t xml:space="preserve">The ‘Weighted-Average Environmental Score’ is an index weighted average of the Sustainalytics corporate and sovereign Environmental Risk Scores  of index constituents. The lowest score possible (best) is 0. This metric is a consolidated score including any corporate and sovereign bonds. </t>
  </si>
  <si>
    <t xml:space="preserve">The ‘Weighted-Average Social Score’ is an index weighted average of the Sustainalytics corporate and sovereign Social Risk Scores of index constituents. The lowest score possible (best) is 0. This metric is a consolidated score including any corporate and sovereign bonds. </t>
  </si>
  <si>
    <t xml:space="preserve">The ‘Weighted-Average Governance Score’ is an index weighted average of the Sustainalytics corporate and sovereign Governance Risk Scores of index constituents. The lowest score possible (best) is 0. This metric is a consolidated score including any corporate and sovereign bonds. </t>
  </si>
  <si>
    <t>The metric tons of greenhouse gas emissions (tCO2e) apportioned to the index per EUR 1 million invested using Gross Domestic Product (GDP) as the apportionment factor.</t>
  </si>
  <si>
    <t>The count of constituents classified in the Sustainalytics Global Standards Screening dataset as 'Non-compliant' with, or in violation of, any of the ten principles of the UNGC, ILO's Conventions, the UN Guiding Principles or Business and Human Rights, and Chapters of the OECD Guidelines for Multinational Enterprises.</t>
  </si>
  <si>
    <t>The count of constituents classified in the Sustainalytics Global Standards Screening dataset as 'Non-compliant' with, or in violation of, any of the ten principles of the UNGC, ILO's Conventions, the UN Guiding Principles or Business and Human Rights, and Chapters of the OECD Guidelines for Multinational Enterprises, divided by the total constituent count.</t>
  </si>
  <si>
    <t>The summed index weight of constituents without due diligent policies on issues addressed by the ILO's Conventions 1 to 8.</t>
  </si>
  <si>
    <t>The 'Weighted-Average Total Recordable Injury Rate’ is an index weighted average of the rate of all recordable work-related injuries suffered by the company’s employees and contractors and includes fatalities, lost time injuries, restricted work cases or medical treatment cases, expressed as injuries per million hours worked.</t>
  </si>
  <si>
    <t>The 'Amount of Fines for Violations of Anti-Corruption &amp; Anti-Bribery Laws' assess the total value of fines for violations of anti-corruption and anti-bribery laws per issuer (not bond) and across the issuer's family tree, denomiated in Euros, summed at the index-level.</t>
  </si>
  <si>
    <t>The count of constituents with relevant country events (repression, conflict or corruption) identified by Sustainalytics.</t>
  </si>
  <si>
    <t>The count of constituents with relevant country events (repression, conflict or corruption) identified by Sustainalytics, divided by the total index constituent count.</t>
  </si>
  <si>
    <t>The ‘Weighted-Average Human Rights Score’ is an index weighted average of the Sustainalytics 'Human Rights Score' of index constituents. Scores range between 0 (worst) and 100 (best).</t>
  </si>
  <si>
    <t>The ‘Weighted-Average Press Freedom Score’ is an index weighted average of the Sustainalytics 'Voice and Accountabilty Score' of index constituents. Scores range between 0 (worst) and 100 (best).</t>
  </si>
  <si>
    <t>The ‘Weighted-Average Corruption Score’ is an index weighted average of the Sustainalytics 'Corruption Score' of index constituents. Scores range between 0 (worst) and 100 (best).</t>
  </si>
  <si>
    <t>The ‘Weighted-Average Political Stability Score’ is an index weighted average of the Sustainalytics 'Political Stability Score' of index constituents. Scores range between 0 (worst) and 100 (best).</t>
  </si>
  <si>
    <t>The ‘Weighted-Average Rule of Law Score’ is an index weighted average of the Sustainalytics 'Rule of Law Score' of index constituents. Scores range between 0 (worst) and 100 (best).</t>
  </si>
  <si>
    <t xml:space="preserve">The ‘Weighted-Average ESG Score’ is an index weighted average of the MSCI industry-adjusted and government-adjusted ESG Scores of index constituents. Score range between 0 (worst) and 10 (best). This metric is a consolidated score including any corporate and sovereign bonds. </t>
  </si>
  <si>
    <t xml:space="preserve">The ‘Weighted-Average Environmental Score’ is an index weighted average of the MSCI industry-adjusted and government-adjusted Environmental Scores of index constituents. Score range between 0 (worst) and 10 (best). This metric is a consolidated score including any corporate and sovereign bonds. </t>
  </si>
  <si>
    <t xml:space="preserve">The ‘Weighted-Average Social Score’ is an index weighted average of the MSCI industry-adjusted and government-adjusted Social Scores of index constituents. Score range between 0 (worst) and 10 (best). This metric is a consolidated score including any corporate and sovereign bonds. </t>
  </si>
  <si>
    <t xml:space="preserve">The ‘Weighted-Average Governance Score’ is an index weighted average of the MSCI industry-adjusted and government-adjusted Governance Scores of index constituents. Score range between 0 (worst) and 10 (best). This metric is a consolidated score including any corporate and sovereign bonds. </t>
  </si>
  <si>
    <t>The metric tons of scope 1, 2, and 3 greenhouse gas emissions (tCO2e) per EUR 1 million of revenue, using company revenue as the apportionment factor.</t>
  </si>
  <si>
    <t>The metric tons of greenhouse gas emissions (tCO2e) apportioned to the index per USD 1 million invested using Nominal Gross Domestic Product (GDP) as the apportionment factor.</t>
  </si>
  <si>
    <t xml:space="preserve">The count of constituents involved in social violations. Social violations are defined as 'Red Flag' controversies related to customers, human rights &amp; community impact or labor rights &amp; supply chain, in accordance with the MSCI ESG Controversies methodology. A Red Flag indicates an ongoing 'Very Severe' ESG controversy implicating a company directly through its actions, products, or operations. </t>
  </si>
  <si>
    <t xml:space="preserve">The count of constituents involved in social violations, divided by total constituent count. Social violations are defined as 'Red Flag' controversies related to customers, human rights &amp; community impact or labor rights &amp; supply chain, in accordance with the MSCI ESG Controversies methodology. A Red Flag indicates an ongoing 'Very Severe' ESG controversy implicating a company directly through its actions, products, or operations. </t>
  </si>
  <si>
    <t xml:space="preserve"> </t>
  </si>
  <si>
    <t>The count of constituents identified by MSCI with European External Action Service (EEAS) restrictive measures (sanctions) on imports and exports.</t>
  </si>
  <si>
    <t>The count of constituents identified by MSCI with European External Action Service (EEAS) restrictive measures (sanctions) on imports and exports, divided by the total index constituent count.</t>
  </si>
  <si>
    <t>The ‘Weighted-Average Human Rights Score’ is an index weighted average of the MSCI Government 'Fundamental Rights Sub-score' of index constituents. Scores range between 0 (worst) and 100 (best).</t>
  </si>
  <si>
    <t>The ‘Weighted-Average Press Freedom Score’ is an index weighted average of the MSCI Government 'World Press Freedom Index Score' of index constituents. Higher scores represent higher levels of press freedom.</t>
  </si>
  <si>
    <t>The ‘Weighted-Average Corruption Score’ is an index weighted average of the MSCI 'Corruption Perception Index Score' of index constituents. Lower scores represent countries with more perceived corruption.</t>
  </si>
  <si>
    <t>The ‘Weighted-Average Political Stability Score’ is an index weighted average of the MSCI 'Stability &amp; Peace Score' of index constituents. Scores range between 0 (worst) and 10 (best).</t>
  </si>
  <si>
    <t>The ‘Weighted-Average Rule of Law Score’ is an index weighted average of the MSCI 'Rule of Law Index Score' of index constituents. Scores typically range between 0 (worst) and 1 (best).</t>
  </si>
  <si>
    <t xml:space="preserve">Date </t>
  </si>
  <si>
    <t>Confirm the MSCI data point used is correct</t>
  </si>
  <si>
    <t>Confirm the MSCI data point used is correct and the fines currency</t>
  </si>
  <si>
    <t>Jian, do you calculcate this as unique bonds or issuers?</t>
  </si>
  <si>
    <t>Is this the same for sustainalytics?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</si>
</sst>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_(* \(#,##0.00\);_(* &quot;-&quot;??_);_(@_)"/>
    <numFmt numFmtId="165" formatCode="yyyy\-mm\-dd;@"/>
  </numFmts>
  <fonts count="92">
    <font>
      <sz val="11"/>
      <color theme="1"/>
      <name val="Calibri"/>
      <family val="2"/>
      <scheme val="minor"/>
    </font>
    <font>
      <sz val="11"/>
      <color theme="1"/>
      <name val="Arial"/>
      <family val="2"/>
    </font>
    <font>
      <sz val="11"/>
      <color theme="1"/>
      <name val="Calibri"/>
      <family val="2"/>
      <scheme val="minor"/>
    </font>
    <font>
      <b/>
      <sz val="9"/>
      <color theme="1"/>
      <name val="Arial"/>
      <family val="2"/>
    </font>
    <font>
      <sz val="9"/>
      <color theme="1"/>
      <name val="Arial"/>
      <family val="2"/>
    </font>
    <font>
      <sz val="8"/>
      <color theme="1"/>
      <name val="Arial"/>
      <family val="2"/>
    </font>
    <font>
      <vertAlign val="superscript"/>
      <sz val="8"/>
      <color theme="1"/>
      <name val="Arial"/>
      <family val="2"/>
    </font>
    <font>
      <b/>
      <sz val="12"/>
      <color theme="1"/>
      <name val="Arial"/>
      <family val="2"/>
    </font>
    <font>
      <sz val="10"/>
      <name val="Arial"/>
      <family val="2"/>
    </font>
    <font>
      <b/>
      <sz val="20"/>
      <color theme="1"/>
      <name val="Arial"/>
      <family val="2"/>
    </font>
    <font>
      <b/>
      <sz val="11"/>
      <color theme="1"/>
      <name val="Calibri"/>
      <family val="2"/>
      <scheme val="minor"/>
    </font>
    <font>
      <sz val="12"/>
      <color theme="1"/>
      <name val="Arial"/>
      <family val="2"/>
    </font>
    <font>
      <sz val="12"/>
      <color rgb="FF000000"/>
      <name val="Arial"/>
      <family val="2"/>
    </font>
    <font>
      <sz val="11"/>
      <color theme="1"/>
      <name val="Arial"/>
      <family val="2"/>
    </font>
    <font>
      <u/>
      <sz val="11"/>
      <color theme="10"/>
      <name val="Calibri"/>
      <family val="2"/>
      <scheme val="minor"/>
    </font>
    <font>
      <b/>
      <sz val="16"/>
      <color theme="1"/>
      <name val="Arial"/>
      <family val="2"/>
    </font>
    <font>
      <sz val="10"/>
      <color theme="1"/>
      <name val="Arial"/>
      <family val="2"/>
    </font>
    <font>
      <b/>
      <sz val="22"/>
      <color theme="1"/>
      <name val="Arial"/>
      <family val="2"/>
    </font>
    <font>
      <b/>
      <sz val="9"/>
      <name val="Arial"/>
      <family val="2"/>
    </font>
    <font>
      <b/>
      <sz val="11"/>
      <name val="Arial"/>
      <family val="2"/>
    </font>
    <font>
      <b/>
      <sz val="10"/>
      <color theme="1"/>
      <name val="Arial"/>
      <family val="2"/>
    </font>
    <font>
      <sz val="11"/>
      <name val="Arial"/>
      <family val="2"/>
    </font>
    <font>
      <i/>
      <sz val="11"/>
      <color theme="1"/>
      <name val="Arial"/>
      <family val="2"/>
    </font>
    <font>
      <sz val="22"/>
      <name val="Arial"/>
      <family val="2"/>
    </font>
    <font>
      <b/>
      <sz val="11"/>
      <color theme="1"/>
      <name val="Arial"/>
      <family val="2"/>
    </font>
    <font>
      <sz val="11"/>
      <color theme="1" tint="0.34998626667073579"/>
      <name val="Arial"/>
      <family val="2"/>
    </font>
    <font>
      <b/>
      <sz val="11"/>
      <color theme="1" tint="0.34998626667073579"/>
      <name val="Arial"/>
      <family val="2"/>
    </font>
    <font>
      <i/>
      <sz val="10"/>
      <color theme="1"/>
      <name val="Arial"/>
      <family val="2"/>
    </font>
    <font>
      <u/>
      <sz val="11"/>
      <color theme="10"/>
      <name val="Arial"/>
      <family val="2"/>
    </font>
    <font>
      <b/>
      <sz val="14"/>
      <color theme="9" tint="-0.249977111117893"/>
      <name val="Arial"/>
      <family val="2"/>
    </font>
    <font>
      <b/>
      <sz val="14"/>
      <color rgb="FF002060"/>
      <name val="Arial"/>
      <family val="2"/>
    </font>
    <font>
      <b/>
      <sz val="14"/>
      <name val="Arial"/>
      <family val="2"/>
    </font>
    <font>
      <b/>
      <sz val="14"/>
      <color theme="1"/>
      <name val="Arial"/>
      <family val="2"/>
    </font>
    <font>
      <u/>
      <sz val="8"/>
      <color theme="10"/>
      <name val="Arial"/>
      <family val="2"/>
    </font>
    <font>
      <i/>
      <u/>
      <sz val="11"/>
      <color theme="10"/>
      <name val="Arial"/>
      <family val="2"/>
    </font>
    <font>
      <b/>
      <u/>
      <sz val="11"/>
      <color theme="1"/>
      <name val="Arial"/>
      <family val="2"/>
    </font>
    <font>
      <b/>
      <sz val="12"/>
      <color theme="4"/>
      <name val="Arial"/>
      <family val="2"/>
    </font>
    <font>
      <vertAlign val="superscript"/>
      <sz val="12"/>
      <color theme="1"/>
      <name val="Arial"/>
      <family val="2"/>
    </font>
    <font>
      <b/>
      <sz val="12"/>
      <name val="Arial"/>
      <family val="2"/>
    </font>
    <font>
      <b/>
      <sz val="14"/>
      <color theme="7" tint="-0.249977111117893"/>
      <name val="Arial"/>
      <family val="2"/>
    </font>
    <font>
      <b/>
      <sz val="12"/>
      <color rgb="FFC00000"/>
      <name val="Arial"/>
      <family val="2"/>
    </font>
    <font>
      <sz val="12"/>
      <color rgb="FF0A0A0A"/>
      <name val="Arial"/>
      <family val="2"/>
    </font>
    <font>
      <u/>
      <sz val="14"/>
      <color theme="10"/>
      <name val="Arial"/>
      <family val="2"/>
    </font>
    <font>
      <u/>
      <sz val="12"/>
      <color theme="10"/>
      <name val="Arial"/>
      <family val="2"/>
    </font>
    <font>
      <b/>
      <sz val="11"/>
      <color rgb="FFFF0000"/>
      <name val="Arial"/>
      <family val="2"/>
    </font>
    <font>
      <u/>
      <sz val="11"/>
      <color theme="1"/>
      <name val="Arial"/>
      <family val="2"/>
    </font>
    <font>
      <b/>
      <sz val="11"/>
      <color theme="0"/>
      <name val="Arial"/>
      <family val="2"/>
    </font>
    <font>
      <i/>
      <u/>
      <sz val="11"/>
      <color theme="1"/>
      <name val="Arial"/>
      <family val="2"/>
    </font>
    <font>
      <i/>
      <u/>
      <sz val="10"/>
      <color theme="10"/>
      <name val="Arial"/>
      <family val="2"/>
    </font>
    <font>
      <b/>
      <sz val="24"/>
      <color theme="1"/>
      <name val="Arial"/>
      <family val="2"/>
    </font>
    <font>
      <i/>
      <sz val="12"/>
      <color rgb="FF7030A0"/>
      <name val="Arial"/>
      <family val="2"/>
    </font>
    <font>
      <sz val="12"/>
      <color theme="8" tint="-0.249977111117893"/>
      <name val="Arial"/>
      <family val="2"/>
    </font>
    <font>
      <sz val="12"/>
      <color theme="7" tint="-0.249977111117893"/>
      <name val="Arial"/>
      <family val="2"/>
    </font>
    <font>
      <sz val="12"/>
      <color theme="9" tint="-0.499984740745262"/>
      <name val="Arial"/>
      <family val="2"/>
    </font>
    <font>
      <sz val="12"/>
      <name val="Arial"/>
      <family val="2"/>
    </font>
    <font>
      <sz val="9"/>
      <color theme="0"/>
      <name val="Arial"/>
      <family val="2"/>
    </font>
    <font>
      <b/>
      <sz val="9"/>
      <color theme="0"/>
      <name val="Arial"/>
      <family val="2"/>
    </font>
    <font>
      <sz val="12"/>
      <color rgb="FF7030A0"/>
      <name val="Arial"/>
      <family val="2"/>
    </font>
    <font>
      <i/>
      <u/>
      <sz val="12"/>
      <color theme="10"/>
      <name val="Arial"/>
      <family val="2"/>
    </font>
    <font>
      <sz val="10"/>
      <name val="Inherit"/>
    </font>
    <font>
      <sz val="12"/>
      <color rgb="FFBF8F00"/>
      <name val="Arial"/>
      <family val="2"/>
    </font>
    <font>
      <vertAlign val="superscript"/>
      <sz val="12"/>
      <color rgb="FF000000"/>
      <name val="Arial"/>
      <family val="2"/>
    </font>
    <font>
      <b/>
      <sz val="11"/>
      <color theme="4" tint="-0.249977111117893"/>
      <name val="Arial"/>
      <family val="2"/>
    </font>
    <font>
      <b/>
      <i/>
      <sz val="11"/>
      <color theme="1"/>
      <name val="Arial"/>
      <family val="2"/>
    </font>
    <font>
      <i/>
      <sz val="12"/>
      <color theme="1"/>
      <name val="Arial"/>
      <family val="2"/>
    </font>
    <font>
      <vertAlign val="subscript"/>
      <sz val="12"/>
      <color theme="1"/>
      <name val="Arial"/>
      <family val="2"/>
    </font>
    <font>
      <i/>
      <sz val="12"/>
      <color rgb="FF000000"/>
      <name val="Arial"/>
      <family val="2"/>
    </font>
    <font>
      <b/>
      <sz val="12"/>
      <color rgb="FF000000"/>
      <name val="Arial"/>
      <family val="2"/>
    </font>
    <font>
      <u/>
      <sz val="12"/>
      <color theme="1"/>
      <name val="Arial"/>
      <family val="2"/>
    </font>
    <font>
      <sz val="11"/>
      <color theme="1"/>
      <name val="Arial"/>
      <family val="2"/>
    </font>
    <font>
      <u/>
      <sz val="10"/>
      <color rgb="FF000000"/>
      <name val="Arial"/>
      <family val="2"/>
    </font>
    <font>
      <sz val="10"/>
      <color rgb="FF000000"/>
      <name val="Arial"/>
      <family val="2"/>
    </font>
    <font>
      <vertAlign val="superscript"/>
      <sz val="10"/>
      <color theme="1"/>
      <name val="Arial"/>
      <family val="2"/>
    </font>
    <font>
      <u/>
      <sz val="10"/>
      <color theme="10"/>
      <name val="Arial"/>
      <family val="2"/>
    </font>
    <font>
      <b/>
      <sz val="11"/>
      <color theme="9" tint="-0.499984740745262"/>
      <name val="Arial"/>
      <family val="2"/>
    </font>
    <font>
      <b/>
      <sz val="11"/>
      <color theme="7" tint="-0.249977111117893"/>
      <name val="Arial"/>
      <family val="2"/>
    </font>
    <font>
      <b/>
      <sz val="11"/>
      <color theme="8" tint="-0.499984740745262"/>
      <name val="Arial"/>
      <family val="2"/>
    </font>
    <font>
      <sz val="11"/>
      <color theme="0"/>
      <name val="Calibri"/>
      <family val="2"/>
      <scheme val="minor"/>
    </font>
    <font>
      <sz val="22"/>
      <color theme="1"/>
      <name val="Arial"/>
      <family val="2"/>
    </font>
    <font>
      <i/>
      <sz val="10"/>
      <name val="Arial"/>
      <family val="2"/>
    </font>
    <font>
      <b/>
      <sz val="14"/>
      <color theme="0"/>
      <name val="Arial"/>
      <family val="2"/>
    </font>
    <font>
      <b/>
      <sz val="12"/>
      <color theme="0"/>
      <name val="Arial"/>
      <family val="2"/>
    </font>
    <font>
      <sz val="11"/>
      <color theme="0"/>
      <name val="Arial"/>
      <family val="2"/>
    </font>
    <font>
      <b/>
      <u/>
      <sz val="10"/>
      <color theme="1"/>
      <name val="Arial"/>
      <family val="2"/>
    </font>
    <font>
      <u/>
      <sz val="8"/>
      <color theme="1"/>
      <name val="Arial"/>
      <family val="2"/>
    </font>
    <font>
      <i/>
      <sz val="11"/>
      <name val="Arial"/>
      <family val="2"/>
    </font>
    <font>
      <b/>
      <sz val="12"/>
      <color theme="4" tint="-0.249977111117893"/>
      <name val="Arial"/>
      <family val="2"/>
    </font>
    <font>
      <sz val="9"/>
      <name val="Arial"/>
      <family val="2"/>
    </font>
    <font>
      <sz val="9"/>
      <color theme="1"/>
      <name val="Calibri"/>
      <family val="2"/>
      <scheme val="minor"/>
    </font>
    <font>
      <sz val="12"/>
      <color theme="1"/>
      <name val="Calibri"/>
      <family val="2"/>
      <scheme val="minor"/>
    </font>
    <font>
      <sz val="12"/>
      <color theme="1"/>
      <name val="Aerial"/>
    </font>
    <font>
      <b/>
      <sz val="18"/>
      <color theme="1"/>
      <name val="Arial"/>
      <family val="2"/>
    </font>
  </fonts>
  <fills count="30">
    <fill>
      <patternFill patternType="none"/>
    </fill>
    <fill>
      <patternFill patternType="gray125"/>
    </fill>
    <fill>
      <patternFill patternType="solid">
        <fgColor theme="0"/>
        <bgColor indexed="64"/>
      </patternFill>
    </fill>
    <fill>
      <patternFill patternType="solid">
        <fgColor rgb="FFC2C2C2"/>
        <bgColor indexed="64"/>
      </patternFill>
    </fill>
    <fill>
      <patternFill patternType="solid">
        <fgColor theme="2"/>
        <bgColor indexed="64"/>
      </patternFill>
    </fill>
    <fill>
      <patternFill patternType="solid">
        <fgColor theme="7" tint="0.79998168889431442"/>
        <bgColor indexed="64"/>
      </patternFill>
    </fill>
    <fill>
      <patternFill patternType="solid">
        <fgColor rgb="FFFFFF00"/>
        <bgColor indexed="64"/>
      </patternFill>
    </fill>
    <fill>
      <patternFill patternType="solid">
        <fgColor theme="3" tint="0.79998168889431442"/>
        <bgColor indexed="64"/>
      </patternFill>
    </fill>
    <fill>
      <patternFill patternType="solid">
        <fgColor theme="3" tint="0.39997558519241921"/>
        <bgColor indexed="64"/>
      </patternFill>
    </fill>
    <fill>
      <patternFill patternType="solid">
        <fgColor rgb="FFF6FAF4"/>
        <bgColor indexed="64"/>
      </patternFill>
    </fill>
    <fill>
      <patternFill patternType="solid">
        <fgColor rgb="FFEAF3FA"/>
        <bgColor indexed="64"/>
      </patternFill>
    </fill>
    <fill>
      <patternFill patternType="solid">
        <fgColor rgb="FFFFFDF7"/>
        <bgColor indexed="64"/>
      </patternFill>
    </fill>
    <fill>
      <patternFill patternType="solid">
        <fgColor theme="8" tint="0.59999389629810485"/>
        <bgColor indexed="64"/>
      </patternFill>
    </fill>
    <fill>
      <patternFill patternType="solid">
        <fgColor rgb="FFCAEAC8"/>
        <bgColor indexed="64"/>
      </patternFill>
    </fill>
    <fill>
      <patternFill patternType="solid">
        <fgColor theme="1" tint="0.499984740745262"/>
        <bgColor indexed="64"/>
      </patternFill>
    </fill>
    <fill>
      <patternFill patternType="solid">
        <fgColor rgb="FFFBFBFB"/>
        <bgColor indexed="64"/>
      </patternFill>
    </fill>
    <fill>
      <patternFill patternType="solid">
        <fgColor theme="0" tint="-4.9989318521683403E-2"/>
        <bgColor indexed="64"/>
      </patternFill>
    </fill>
    <fill>
      <patternFill patternType="solid">
        <fgColor rgb="FF002060"/>
        <bgColor indexed="64"/>
      </patternFill>
    </fill>
    <fill>
      <patternFill patternType="solid">
        <fgColor theme="4" tint="0.39997558519241921"/>
        <bgColor indexed="64"/>
      </patternFill>
    </fill>
    <fill>
      <patternFill patternType="solid">
        <fgColor theme="9" tint="-0.249977111117893"/>
        <bgColor indexed="64"/>
      </patternFill>
    </fill>
    <fill>
      <patternFill patternType="solid">
        <fgColor theme="9" tint="0.39997558519241921"/>
        <bgColor indexed="64"/>
      </patternFill>
    </fill>
    <fill>
      <patternFill patternType="solid">
        <fgColor theme="7" tint="-0.249977111117893"/>
        <bgColor indexed="64"/>
      </patternFill>
    </fill>
    <fill>
      <patternFill patternType="solid">
        <fgColor theme="7" tint="0.59999389629810485"/>
        <bgColor indexed="64"/>
      </patternFill>
    </fill>
    <fill>
      <patternFill patternType="solid">
        <fgColor theme="8" tint="-0.499984740745262"/>
        <bgColor indexed="64"/>
      </patternFill>
    </fill>
    <fill>
      <patternFill patternType="solid">
        <fgColor theme="3" tint="-0.249977111117893"/>
        <bgColor indexed="64"/>
      </patternFill>
    </fill>
    <fill>
      <patternFill patternType="solid">
        <fgColor theme="9" tint="0.59999389629810485"/>
        <bgColor indexed="64"/>
      </patternFill>
    </fill>
    <fill>
      <patternFill patternType="solid">
        <fgColor theme="4" tint="0.59999389629810485"/>
        <bgColor indexed="64"/>
      </patternFill>
    </fill>
    <fill>
      <patternFill patternType="solid">
        <fgColor theme="9"/>
        <bgColor indexed="64"/>
      </patternFill>
    </fill>
    <fill>
      <patternFill patternType="solid">
        <fgColor theme="5" tint="0.79998168889431442"/>
        <bgColor indexed="64"/>
      </patternFill>
    </fill>
    <fill>
      <patternFill patternType="solid">
        <fgColor theme="4"/>
        <bgColor indexed="64"/>
      </patternFill>
    </fill>
  </fills>
  <borders count="68">
    <border>
      <left/>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style="thin">
        <color indexed="64"/>
      </top>
      <bottom/>
      <diagonal/>
    </border>
    <border>
      <left/>
      <right/>
      <top style="thin">
        <color indexed="64"/>
      </top>
      <bottom style="thin">
        <color indexed="64"/>
      </bottom>
      <diagonal/>
    </border>
    <border>
      <left style="thin">
        <color theme="0" tint="-0.14999847407452621"/>
      </left>
      <right/>
      <top style="thin">
        <color theme="0" tint="-0.14999847407452621"/>
      </top>
      <bottom style="thin">
        <color theme="0" tint="-0.14999847407452621"/>
      </bottom>
      <diagonal/>
    </border>
    <border>
      <left/>
      <right/>
      <top style="thin">
        <color theme="0" tint="-0.14999847407452621"/>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right/>
      <top style="thin">
        <color theme="0" tint="-0.249977111117893"/>
      </top>
      <bottom/>
      <diagonal/>
    </border>
    <border>
      <left/>
      <right/>
      <top/>
      <bottom style="thin">
        <color theme="0" tint="-0.249977111117893"/>
      </bottom>
      <diagonal/>
    </border>
    <border>
      <left/>
      <right style="thin">
        <color theme="0" tint="-0.249977111117893"/>
      </right>
      <top style="thin">
        <color theme="0" tint="-0.249977111117893"/>
      </top>
      <bottom/>
      <diagonal/>
    </border>
    <border>
      <left/>
      <right style="thin">
        <color theme="0" tint="-0.249977111117893"/>
      </right>
      <top/>
      <bottom style="thin">
        <color theme="0" tint="-0.249977111117893"/>
      </bottom>
      <diagonal/>
    </border>
    <border>
      <left/>
      <right/>
      <top style="thin">
        <color theme="1" tint="0.499984740745262"/>
      </top>
      <bottom style="thin">
        <color theme="1" tint="0.499984740745262"/>
      </bottom>
      <diagonal/>
    </border>
    <border>
      <left/>
      <right/>
      <top style="thin">
        <color theme="1" tint="0.499984740745262"/>
      </top>
      <bottom/>
      <diagonal/>
    </border>
    <border>
      <left/>
      <right/>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right style="thin">
        <color theme="1" tint="0.499984740745262"/>
      </right>
      <top style="thin">
        <color theme="1" tint="0.499984740745262"/>
      </top>
      <bottom/>
      <diagonal/>
    </border>
    <border>
      <left/>
      <right style="thin">
        <color theme="1" tint="0.499984740745262"/>
      </right>
      <top/>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0" tint="-0.249977111117893"/>
      </left>
      <right/>
      <top style="thin">
        <color theme="0" tint="-0.249977111117893"/>
      </top>
      <bottom/>
      <diagonal/>
    </border>
    <border>
      <left style="thin">
        <color theme="0" tint="-0.249977111117893"/>
      </left>
      <right/>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style="thin">
        <color theme="0" tint="-0.249977111117893"/>
      </bottom>
      <diagonal/>
    </border>
    <border>
      <left style="thin">
        <color theme="1" tint="0.499984740745262"/>
      </left>
      <right style="thin">
        <color theme="1" tint="0.499984740745262"/>
      </right>
      <top style="thin">
        <color theme="1" tint="0.499984740745262"/>
      </top>
      <bottom/>
      <diagonal/>
    </border>
    <border>
      <left style="thin">
        <color theme="1" tint="0.499984740745262"/>
      </left>
      <right style="thin">
        <color theme="1" tint="0.499984740745262"/>
      </right>
      <top/>
      <bottom style="thin">
        <color theme="1" tint="0.499984740745262"/>
      </bottom>
      <diagonal/>
    </border>
    <border>
      <left style="thin">
        <color theme="0" tint="-0.249977111117893"/>
      </left>
      <right style="thin">
        <color theme="0" tint="-0.249977111117893"/>
      </right>
      <top/>
      <bottom/>
      <diagonal/>
    </border>
    <border>
      <left style="medium">
        <color theme="1" tint="0.499984740745262"/>
      </left>
      <right style="medium">
        <color theme="1" tint="0.499984740745262"/>
      </right>
      <top style="medium">
        <color theme="1" tint="0.499984740745262"/>
      </top>
      <bottom style="medium">
        <color theme="1" tint="0.499984740745262"/>
      </bottom>
      <diagonal/>
    </border>
    <border>
      <left style="medium">
        <color theme="1" tint="0.499984740745262"/>
      </left>
      <right/>
      <top style="medium">
        <color theme="1" tint="0.499984740745262"/>
      </top>
      <bottom style="medium">
        <color theme="1" tint="0.499984740745262"/>
      </bottom>
      <diagonal/>
    </border>
    <border>
      <left/>
      <right/>
      <top style="medium">
        <color theme="1" tint="0.499984740745262"/>
      </top>
      <bottom style="medium">
        <color theme="1" tint="0.499984740745262"/>
      </bottom>
      <diagonal/>
    </border>
    <border>
      <left/>
      <right style="medium">
        <color theme="1" tint="0.499984740745262"/>
      </right>
      <top style="medium">
        <color theme="1" tint="0.499984740745262"/>
      </top>
      <bottom style="medium">
        <color theme="1" tint="0.499984740745262"/>
      </bottom>
      <diagonal/>
    </border>
    <border>
      <left style="thin">
        <color theme="0" tint="-0.14999847407452621"/>
      </left>
      <right/>
      <top/>
      <bottom/>
      <diagonal/>
    </border>
    <border>
      <left style="thin">
        <color theme="0" tint="-0.14999847407452621"/>
      </left>
      <right/>
      <top/>
      <bottom style="thin">
        <color theme="0" tint="-0.14999847407452621"/>
      </bottom>
      <diagonal/>
    </border>
    <border>
      <left/>
      <right/>
      <top/>
      <bottom style="thin">
        <color theme="0" tint="-0.14999847407452621"/>
      </bottom>
      <diagonal/>
    </border>
    <border>
      <left style="thin">
        <color theme="0" tint="-0.14999847407452621"/>
      </left>
      <right/>
      <top style="thin">
        <color theme="0" tint="-0.14999847407452621"/>
      </top>
      <bottom/>
      <diagonal/>
    </border>
    <border>
      <left/>
      <right/>
      <top style="thin">
        <color theme="0" tint="-0.14999847407452621"/>
      </top>
      <bottom/>
      <diagonal/>
    </border>
    <border>
      <left/>
      <right style="thin">
        <color theme="0" tint="-0.14999847407452621"/>
      </right>
      <top style="thin">
        <color theme="0" tint="-0.14999847407452621"/>
      </top>
      <bottom/>
      <diagonal/>
    </border>
    <border>
      <left/>
      <right style="thin">
        <color theme="0" tint="-0.14999847407452621"/>
      </right>
      <top/>
      <bottom/>
      <diagonal/>
    </border>
    <border>
      <left/>
      <right style="thin">
        <color theme="0" tint="-0.14999847407452621"/>
      </right>
      <top/>
      <bottom style="thin">
        <color theme="0" tint="-0.14999847407452621"/>
      </bottom>
      <diagonal/>
    </border>
    <border>
      <left/>
      <right/>
      <top style="thin">
        <color theme="2"/>
      </top>
      <bottom style="thin">
        <color theme="0" tint="-0.249977111117893"/>
      </bottom>
      <diagonal/>
    </border>
    <border>
      <left style="thin">
        <color theme="2"/>
      </left>
      <right/>
      <top style="thin">
        <color theme="2"/>
      </top>
      <bottom/>
      <diagonal/>
    </border>
    <border>
      <left/>
      <right/>
      <top style="thin">
        <color theme="2"/>
      </top>
      <bottom/>
      <diagonal/>
    </border>
    <border>
      <left style="thin">
        <color theme="2"/>
      </left>
      <right/>
      <top/>
      <bottom/>
      <diagonal/>
    </border>
    <border>
      <left style="thin">
        <color theme="2"/>
      </left>
      <right/>
      <top/>
      <bottom style="thin">
        <color theme="2"/>
      </bottom>
      <diagonal/>
    </border>
    <border>
      <left/>
      <right/>
      <top/>
      <bottom style="thin">
        <color theme="2"/>
      </bottom>
      <diagonal/>
    </border>
    <border>
      <left style="thin">
        <color indexed="64"/>
      </left>
      <right style="thin">
        <color indexed="64"/>
      </right>
      <top style="thin">
        <color indexed="64"/>
      </top>
      <bottom style="thin">
        <color indexed="64"/>
      </bottom>
      <diagonal/>
    </border>
    <border>
      <left style="thin">
        <color theme="2"/>
      </left>
      <right style="thin">
        <color theme="2"/>
      </right>
      <top style="thin">
        <color theme="2"/>
      </top>
      <bottom style="thin">
        <color theme="2"/>
      </bottom>
      <diagonal/>
    </border>
    <border>
      <left/>
      <right style="thin">
        <color theme="2"/>
      </right>
      <top style="thin">
        <color theme="2"/>
      </top>
      <bottom/>
      <diagonal/>
    </border>
    <border>
      <left/>
      <right style="thin">
        <color theme="2"/>
      </right>
      <top/>
      <bottom/>
      <diagonal/>
    </border>
    <border>
      <left/>
      <right style="thin">
        <color theme="2"/>
      </right>
      <top/>
      <bottom style="thin">
        <color theme="2"/>
      </bottom>
      <diagonal/>
    </border>
    <border>
      <left style="thin">
        <color theme="1" tint="0.499984740745262"/>
      </left>
      <right style="thin">
        <color theme="1" tint="0.499984740745262"/>
      </right>
      <top style="thin">
        <color theme="1" tint="0.499984740745262"/>
      </top>
      <bottom style="thin">
        <color theme="0" tint="-0.34998626667073579"/>
      </bottom>
      <diagonal/>
    </border>
    <border>
      <left/>
      <right/>
      <top style="thin">
        <color theme="0" tint="-0.14999847407452621"/>
      </top>
      <bottom style="thin">
        <color theme="2"/>
      </bottom>
      <diagonal/>
    </border>
    <border>
      <left style="thin">
        <color theme="0" tint="-0.14999847407452621"/>
      </left>
      <right/>
      <top style="thin">
        <color theme="0" tint="-0.14999847407452621"/>
      </top>
      <bottom style="thin">
        <color theme="2"/>
      </bottom>
      <diagonal/>
    </border>
    <border>
      <left/>
      <right style="thin">
        <color theme="0" tint="-0.14999847407452621"/>
      </right>
      <top style="thin">
        <color theme="0" tint="-0.14999847407452621"/>
      </top>
      <bottom style="thin">
        <color theme="2"/>
      </bottom>
      <diagonal/>
    </border>
    <border>
      <left/>
      <right style="thin">
        <color theme="2"/>
      </right>
      <top style="thin">
        <color theme="0" tint="-0.14999847407452621"/>
      </top>
      <bottom/>
      <diagonal/>
    </border>
    <border>
      <left/>
      <right/>
      <top style="thin">
        <color theme="0" tint="-0.249977111117893"/>
      </top>
      <bottom style="thin">
        <color theme="2"/>
      </bottom>
      <diagonal/>
    </border>
  </borders>
  <cellStyleXfs count="7">
    <xf numFmtId="0" fontId="0" fillId="0" borderId="0"/>
    <xf numFmtId="9" fontId="2" fillId="0" borderId="0" applyFont="0" applyFill="0" applyBorder="0" applyAlignment="0" applyProtection="0"/>
    <xf numFmtId="0" fontId="8" fillId="0" borderId="0"/>
    <xf numFmtId="0" fontId="8" fillId="0" borderId="0" applyNumberFormat="0" applyFill="0" applyBorder="0" applyAlignment="0" applyProtection="0"/>
    <xf numFmtId="0" fontId="14" fillId="0" borderId="0" applyNumberFormat="0" applyFill="0" applyBorder="0" applyAlignment="0" applyProtection="0"/>
    <xf numFmtId="9" fontId="2" fillId="0" borderId="0" applyFont="0" applyFill="0" applyBorder="0" applyAlignment="0" applyProtection="0"/>
    <xf numFmtId="164" fontId="2" fillId="0" borderId="0" applyFont="0" applyFill="0" applyBorder="0" applyAlignment="0" applyProtection="0"/>
  </cellStyleXfs>
  <cellXfs count="536">
    <xf numFmtId="0" fontId="0" fillId="0" borderId="0" xfId="0"/>
    <xf numFmtId="0" fontId="6" fillId="2" borderId="0" xfId="0" applyFont="1" applyFill="1" applyAlignment="1">
      <alignment vertical="top" wrapText="1"/>
    </xf>
    <xf numFmtId="0" fontId="5" fillId="2" borderId="0" xfId="0" applyFont="1" applyFill="1" applyAlignment="1">
      <alignment vertical="top" wrapText="1"/>
    </xf>
    <xf numFmtId="0" fontId="9" fillId="2" borderId="0" xfId="0" applyFont="1" applyFill="1" applyAlignment="1">
      <alignment vertical="center"/>
    </xf>
    <xf numFmtId="0" fontId="7" fillId="2" borderId="0" xfId="0" applyFont="1" applyFill="1"/>
    <xf numFmtId="0" fontId="11" fillId="2" borderId="0" xfId="0" applyFont="1" applyFill="1" applyAlignment="1" applyProtection="1">
      <alignment horizontal="right" vertical="center" indent="1"/>
      <protection hidden="1"/>
    </xf>
    <xf numFmtId="0" fontId="12" fillId="2" borderId="0" xfId="0" applyFont="1" applyFill="1" applyAlignment="1" applyProtection="1">
      <alignment horizontal="right" vertical="center"/>
      <protection hidden="1"/>
    </xf>
    <xf numFmtId="0" fontId="11" fillId="2" borderId="0" xfId="0" applyFont="1" applyFill="1" applyAlignment="1" applyProtection="1">
      <alignment horizontal="right" vertical="center" wrapText="1" indent="1"/>
      <protection hidden="1"/>
    </xf>
    <xf numFmtId="0" fontId="15" fillId="2" borderId="0" xfId="0" applyFont="1" applyFill="1"/>
    <xf numFmtId="0" fontId="16" fillId="2" borderId="0" xfId="0" applyFont="1" applyFill="1" applyAlignment="1" applyProtection="1">
      <alignment horizontal="right" vertical="center" indent="1"/>
      <protection hidden="1"/>
    </xf>
    <xf numFmtId="0" fontId="16" fillId="2" borderId="0" xfId="0" applyFont="1" applyFill="1" applyAlignment="1" applyProtection="1">
      <alignment horizontal="right" indent="1"/>
      <protection hidden="1"/>
    </xf>
    <xf numFmtId="0" fontId="16" fillId="2" borderId="0" xfId="0" applyFont="1" applyFill="1" applyAlignment="1" applyProtection="1">
      <alignment horizontal="right" wrapText="1" indent="1"/>
      <protection hidden="1"/>
    </xf>
    <xf numFmtId="0" fontId="16" fillId="2" borderId="0" xfId="0" applyFont="1" applyFill="1" applyAlignment="1" applyProtection="1">
      <alignment horizontal="right" wrapText="1"/>
      <protection hidden="1"/>
    </xf>
    <xf numFmtId="14" fontId="0" fillId="0" borderId="0" xfId="0" applyNumberFormat="1"/>
    <xf numFmtId="0" fontId="0" fillId="6" borderId="0" xfId="0" applyFill="1"/>
    <xf numFmtId="0" fontId="0" fillId="0" borderId="0" xfId="0" applyAlignment="1">
      <alignment wrapText="1"/>
    </xf>
    <xf numFmtId="0" fontId="17" fillId="2" borderId="0" xfId="0" applyFont="1" applyFill="1" applyAlignment="1">
      <alignment horizontal="left" vertical="center"/>
    </xf>
    <xf numFmtId="49" fontId="23" fillId="2" borderId="0" xfId="0" applyNumberFormat="1" applyFont="1" applyFill="1" applyAlignment="1">
      <alignment horizontal="right" vertical="center"/>
    </xf>
    <xf numFmtId="0" fontId="6" fillId="2" borderId="0" xfId="0" applyFont="1" applyFill="1" applyAlignment="1">
      <alignment horizontal="left" vertical="top" wrapText="1"/>
    </xf>
    <xf numFmtId="0" fontId="25" fillId="2" borderId="0" xfId="0" applyFont="1" applyFill="1" applyAlignment="1" applyProtection="1">
      <alignment horizontal="left" indent="1"/>
      <protection hidden="1"/>
    </xf>
    <xf numFmtId="0" fontId="25" fillId="2" borderId="0" xfId="0" applyFont="1" applyFill="1" applyAlignment="1" applyProtection="1">
      <alignment horizontal="left" vertical="center" indent="1"/>
      <protection hidden="1"/>
    </xf>
    <xf numFmtId="0" fontId="25" fillId="2" borderId="0" xfId="0" applyFont="1" applyFill="1" applyProtection="1">
      <protection hidden="1"/>
    </xf>
    <xf numFmtId="0" fontId="19" fillId="2" borderId="0" xfId="0" applyFont="1" applyFill="1" applyProtection="1">
      <protection locked="0" hidden="1"/>
    </xf>
    <xf numFmtId="0" fontId="16" fillId="2" borderId="0" xfId="0" applyFont="1" applyFill="1" applyAlignment="1">
      <alignment horizontal="center" vertical="center" wrapText="1"/>
    </xf>
    <xf numFmtId="0" fontId="27" fillId="2" borderId="0" xfId="0" applyFont="1" applyFill="1" applyAlignment="1">
      <alignment horizontal="center" vertical="center" wrapText="1"/>
    </xf>
    <xf numFmtId="0" fontId="20" fillId="2" borderId="0" xfId="0" applyFont="1" applyFill="1" applyAlignment="1">
      <alignment horizontal="center" vertical="center" wrapText="1"/>
    </xf>
    <xf numFmtId="14" fontId="26" fillId="2" borderId="0" xfId="0" applyNumberFormat="1" applyFont="1" applyFill="1" applyAlignment="1" applyProtection="1">
      <alignment horizontal="left" indent="1"/>
      <protection locked="0" hidden="1"/>
    </xf>
    <xf numFmtId="0" fontId="28" fillId="2" borderId="17" xfId="4" applyFont="1" applyFill="1" applyBorder="1" applyAlignment="1">
      <alignment horizontal="center" vertical="top"/>
    </xf>
    <xf numFmtId="0" fontId="29" fillId="2" borderId="0" xfId="0" applyFont="1" applyFill="1"/>
    <xf numFmtId="0" fontId="30" fillId="2" borderId="0" xfId="0" applyFont="1" applyFill="1"/>
    <xf numFmtId="0" fontId="31" fillId="2" borderId="0" xfId="0" applyFont="1" applyFill="1"/>
    <xf numFmtId="0" fontId="24" fillId="2" borderId="0" xfId="0" applyFont="1" applyFill="1" applyAlignment="1">
      <alignment horizontal="center" vertical="center" wrapText="1"/>
    </xf>
    <xf numFmtId="0" fontId="32" fillId="2" borderId="0" xfId="0" applyFont="1" applyFill="1" applyAlignment="1">
      <alignment horizontal="left" vertical="center"/>
    </xf>
    <xf numFmtId="0" fontId="5" fillId="2" borderId="0" xfId="0" applyFont="1" applyFill="1" applyAlignment="1">
      <alignment vertical="top"/>
    </xf>
    <xf numFmtId="0" fontId="6" fillId="4" borderId="11" xfId="0" applyFont="1" applyFill="1" applyBorder="1" applyAlignment="1">
      <alignment vertical="top" wrapText="1"/>
    </xf>
    <xf numFmtId="0" fontId="33" fillId="2" borderId="0" xfId="4" applyFont="1" applyFill="1" applyAlignment="1">
      <alignment horizontal="left" vertical="top"/>
    </xf>
    <xf numFmtId="0" fontId="34" fillId="2" borderId="0" xfId="4" applyFont="1" applyFill="1" applyAlignment="1">
      <alignment horizontal="left" vertical="top"/>
    </xf>
    <xf numFmtId="0" fontId="35" fillId="2" borderId="0" xfId="0" applyFont="1" applyFill="1" applyAlignment="1" applyProtection="1">
      <alignment vertical="center"/>
      <protection hidden="1"/>
    </xf>
    <xf numFmtId="0" fontId="22" fillId="2" borderId="0" xfId="0" applyFont="1" applyFill="1" applyAlignment="1" applyProtection="1">
      <alignment horizontal="right" vertical="center"/>
      <protection hidden="1"/>
    </xf>
    <xf numFmtId="0" fontId="22" fillId="2" borderId="0" xfId="0" applyFont="1" applyFill="1" applyAlignment="1" applyProtection="1">
      <alignment vertical="center"/>
      <protection hidden="1"/>
    </xf>
    <xf numFmtId="0" fontId="28" fillId="2" borderId="17" xfId="4" applyFont="1" applyFill="1" applyBorder="1" applyAlignment="1">
      <alignment horizontal="center" vertical="center"/>
    </xf>
    <xf numFmtId="0" fontId="11" fillId="2" borderId="0" xfId="0" applyFont="1" applyFill="1" applyAlignment="1">
      <alignment vertical="top" wrapText="1"/>
    </xf>
    <xf numFmtId="0" fontId="11" fillId="15" borderId="43" xfId="0" applyFont="1" applyFill="1" applyBorder="1" applyAlignment="1">
      <alignment vertical="top" wrapText="1"/>
    </xf>
    <xf numFmtId="0" fontId="11" fillId="15" borderId="0" xfId="0" applyFont="1" applyFill="1" applyAlignment="1">
      <alignment vertical="top" wrapText="1"/>
    </xf>
    <xf numFmtId="0" fontId="11" fillId="15" borderId="49" xfId="0" applyFont="1" applyFill="1" applyBorder="1" applyAlignment="1">
      <alignment vertical="top" wrapText="1"/>
    </xf>
    <xf numFmtId="0" fontId="7" fillId="2" borderId="0" xfId="0" applyFont="1" applyFill="1" applyAlignment="1">
      <alignment vertical="top" wrapText="1"/>
    </xf>
    <xf numFmtId="0" fontId="37" fillId="2" borderId="0" xfId="0" applyFont="1" applyFill="1" applyAlignment="1">
      <alignment horizontal="right"/>
    </xf>
    <xf numFmtId="0" fontId="28" fillId="2" borderId="0" xfId="4" applyFont="1" applyFill="1"/>
    <xf numFmtId="0" fontId="39" fillId="2" borderId="0" xfId="0" applyFont="1" applyFill="1"/>
    <xf numFmtId="0" fontId="11" fillId="2" borderId="0" xfId="0" applyFont="1" applyFill="1" applyAlignment="1">
      <alignment horizontal="justify" vertical="top" wrapText="1"/>
    </xf>
    <xf numFmtId="0" fontId="16" fillId="3" borderId="0" xfId="0" applyFont="1" applyFill="1" applyAlignment="1">
      <alignment horizontal="center" vertical="center" wrapText="1"/>
    </xf>
    <xf numFmtId="0" fontId="13" fillId="0" borderId="0" xfId="0" applyFont="1"/>
    <xf numFmtId="0" fontId="41" fillId="2" borderId="0" xfId="0" applyFont="1" applyFill="1" applyAlignment="1">
      <alignment horizontal="left" vertical="top" wrapText="1"/>
    </xf>
    <xf numFmtId="0" fontId="42" fillId="2" borderId="0" xfId="4" applyFont="1" applyFill="1" applyAlignment="1">
      <alignment vertical="center" wrapText="1"/>
    </xf>
    <xf numFmtId="0" fontId="13" fillId="0" borderId="0" xfId="0" applyFont="1" applyAlignment="1">
      <alignment vertical="center"/>
    </xf>
    <xf numFmtId="0" fontId="41" fillId="2" borderId="0" xfId="0" applyFont="1" applyFill="1" applyAlignment="1">
      <alignment horizontal="left" vertical="center" wrapText="1"/>
    </xf>
    <xf numFmtId="0" fontId="13" fillId="0" borderId="0" xfId="0" applyFont="1" applyAlignment="1">
      <alignment vertical="top"/>
    </xf>
    <xf numFmtId="0" fontId="11" fillId="2" borderId="0" xfId="0" applyFont="1" applyFill="1" applyProtection="1">
      <protection hidden="1"/>
    </xf>
    <xf numFmtId="0" fontId="11" fillId="2" borderId="0" xfId="0" applyFont="1" applyFill="1" applyAlignment="1" applyProtection="1">
      <alignment horizontal="left" indent="1"/>
      <protection hidden="1"/>
    </xf>
    <xf numFmtId="0" fontId="11" fillId="2" borderId="0" xfId="0" applyFont="1" applyFill="1" applyAlignment="1" applyProtection="1">
      <alignment horizontal="left" wrapText="1" indent="1"/>
      <protection hidden="1"/>
    </xf>
    <xf numFmtId="0" fontId="11" fillId="2" borderId="0" xfId="0" applyFont="1" applyFill="1" applyAlignment="1" applyProtection="1">
      <alignment horizontal="left" vertical="center" wrapText="1" indent="1"/>
      <protection hidden="1"/>
    </xf>
    <xf numFmtId="0" fontId="12" fillId="2" borderId="0" xfId="0" applyFont="1" applyFill="1" applyProtection="1">
      <protection locked="0" hidden="1"/>
    </xf>
    <xf numFmtId="0" fontId="11" fillId="2" borderId="0" xfId="0" applyFont="1" applyFill="1" applyAlignment="1" applyProtection="1">
      <alignment horizontal="left" vertical="center" indent="1"/>
      <protection hidden="1"/>
    </xf>
    <xf numFmtId="0" fontId="19" fillId="10" borderId="31" xfId="0" applyFont="1" applyFill="1" applyBorder="1" applyAlignment="1">
      <alignment horizontal="center" vertical="center" wrapText="1"/>
    </xf>
    <xf numFmtId="0" fontId="16" fillId="2" borderId="0" xfId="0" applyFont="1" applyFill="1"/>
    <xf numFmtId="4" fontId="11" fillId="2" borderId="16" xfId="0" applyNumberFormat="1" applyFont="1" applyFill="1" applyBorder="1" applyAlignment="1">
      <alignment horizontal="center" vertical="top"/>
    </xf>
    <xf numFmtId="0" fontId="11" fillId="2" borderId="0" xfId="0" applyFont="1" applyFill="1" applyAlignment="1">
      <alignment horizontal="center"/>
    </xf>
    <xf numFmtId="0" fontId="11" fillId="2" borderId="0" xfId="0" applyFont="1" applyFill="1"/>
    <xf numFmtId="0" fontId="24" fillId="12" borderId="31" xfId="0" applyFont="1" applyFill="1" applyBorder="1" applyAlignment="1">
      <alignment horizontal="left" vertical="top" indent="1"/>
    </xf>
    <xf numFmtId="0" fontId="27" fillId="2" borderId="17" xfId="0" applyFont="1" applyFill="1" applyBorder="1" applyAlignment="1">
      <alignment horizontal="center" vertical="top"/>
    </xf>
    <xf numFmtId="0" fontId="19" fillId="9" borderId="31" xfId="0" applyFont="1" applyFill="1" applyBorder="1" applyAlignment="1">
      <alignment horizontal="center" vertical="center" wrapText="1"/>
    </xf>
    <xf numFmtId="0" fontId="19" fillId="11" borderId="31" xfId="0" applyFont="1" applyFill="1" applyBorder="1" applyAlignment="1">
      <alignment horizontal="center" vertical="center" wrapText="1"/>
    </xf>
    <xf numFmtId="0" fontId="19" fillId="7" borderId="31" xfId="0" applyFont="1" applyFill="1" applyBorder="1" applyAlignment="1">
      <alignment horizontal="center" vertical="center" wrapText="1"/>
    </xf>
    <xf numFmtId="0" fontId="46" fillId="14" borderId="31" xfId="0" applyFont="1" applyFill="1" applyBorder="1" applyAlignment="1">
      <alignment horizontal="center" vertical="center" wrapText="1"/>
    </xf>
    <xf numFmtId="0" fontId="7" fillId="2" borderId="0" xfId="0" applyFont="1" applyFill="1" applyAlignment="1">
      <alignment horizontal="right" vertical="top"/>
    </xf>
    <xf numFmtId="0" fontId="0" fillId="2" borderId="0" xfId="0" applyFill="1"/>
    <xf numFmtId="0" fontId="49" fillId="2" borderId="0" xfId="0" applyFont="1" applyFill="1" applyAlignment="1">
      <alignment horizontal="left" vertical="center"/>
    </xf>
    <xf numFmtId="3" fontId="11" fillId="2" borderId="16" xfId="0" applyNumberFormat="1" applyFont="1" applyFill="1" applyBorder="1" applyAlignment="1">
      <alignment horizontal="center" vertical="center"/>
    </xf>
    <xf numFmtId="0" fontId="11" fillId="2" borderId="0" xfId="0" applyFont="1" applyFill="1" applyAlignment="1">
      <alignment vertical="center"/>
    </xf>
    <xf numFmtId="3" fontId="7" fillId="2" borderId="16" xfId="0" applyNumberFormat="1" applyFont="1" applyFill="1" applyBorder="1" applyAlignment="1">
      <alignment horizontal="center" vertical="center"/>
    </xf>
    <xf numFmtId="0" fontId="7" fillId="2" borderId="0" xfId="0" applyFont="1" applyFill="1" applyAlignment="1">
      <alignment vertical="center"/>
    </xf>
    <xf numFmtId="14" fontId="25" fillId="15" borderId="15" xfId="0" applyNumberFormat="1" applyFont="1" applyFill="1" applyBorder="1" applyAlignment="1" applyProtection="1">
      <alignment horizontal="left" vertical="center" indent="1"/>
      <protection locked="0" hidden="1"/>
    </xf>
    <xf numFmtId="14" fontId="19" fillId="2" borderId="39" xfId="0" applyNumberFormat="1" applyFont="1" applyFill="1" applyBorder="1" applyAlignment="1" applyProtection="1">
      <alignment horizontal="left" vertical="center" indent="1"/>
      <protection locked="0" hidden="1"/>
    </xf>
    <xf numFmtId="0" fontId="15" fillId="2" borderId="0" xfId="0" applyFont="1" applyFill="1" applyAlignment="1">
      <alignment horizontal="left" vertical="center"/>
    </xf>
    <xf numFmtId="2" fontId="51" fillId="2" borderId="16" xfId="0" applyNumberFormat="1" applyFont="1" applyFill="1" applyBorder="1" applyAlignment="1">
      <alignment horizontal="center" vertical="top"/>
    </xf>
    <xf numFmtId="2" fontId="53" fillId="2" borderId="16" xfId="0" applyNumberFormat="1" applyFont="1" applyFill="1" applyBorder="1" applyAlignment="1">
      <alignment horizontal="center" vertical="top"/>
    </xf>
    <xf numFmtId="0" fontId="27" fillId="2" borderId="17" xfId="0" quotePrefix="1" applyFont="1" applyFill="1" applyBorder="1" applyAlignment="1">
      <alignment horizontal="left" vertical="top" indent="1"/>
    </xf>
    <xf numFmtId="0" fontId="38" fillId="2" borderId="0" xfId="0" applyFont="1" applyFill="1" applyAlignment="1">
      <alignment horizontal="right" vertical="top"/>
    </xf>
    <xf numFmtId="0" fontId="24" fillId="2" borderId="0" xfId="0" applyFont="1" applyFill="1" applyAlignment="1">
      <alignment horizontal="center"/>
    </xf>
    <xf numFmtId="14" fontId="0" fillId="0" borderId="0" xfId="0" applyNumberFormat="1" applyAlignment="1">
      <alignment wrapText="1"/>
    </xf>
    <xf numFmtId="0" fontId="28" fillId="2" borderId="34" xfId="4" applyFont="1" applyFill="1" applyBorder="1" applyAlignment="1">
      <alignment horizontal="center" vertical="top"/>
    </xf>
    <xf numFmtId="0" fontId="27" fillId="2" borderId="17" xfId="0" applyFont="1" applyFill="1" applyBorder="1" applyAlignment="1">
      <alignment horizontal="center" vertical="top" wrapText="1"/>
    </xf>
    <xf numFmtId="0" fontId="1" fillId="2" borderId="0" xfId="0" applyFont="1" applyFill="1"/>
    <xf numFmtId="0" fontId="1" fillId="2" borderId="0" xfId="0" applyFont="1" applyFill="1" applyAlignment="1">
      <alignment vertical="top"/>
    </xf>
    <xf numFmtId="0" fontId="35" fillId="0" borderId="0" xfId="0" applyFont="1" applyAlignment="1" applyProtection="1">
      <alignment horizontal="right" vertical="center"/>
      <protection hidden="1"/>
    </xf>
    <xf numFmtId="0" fontId="36" fillId="0" borderId="0" xfId="0" quotePrefix="1" applyFont="1" applyAlignment="1" applyProtection="1">
      <alignment horizontal="right" vertical="top"/>
      <protection hidden="1"/>
    </xf>
    <xf numFmtId="0" fontId="16" fillId="0" borderId="0" xfId="0" quotePrefix="1" applyFont="1" applyAlignment="1" applyProtection="1">
      <alignment horizontal="right" vertical="center" indent="1"/>
      <protection hidden="1"/>
    </xf>
    <xf numFmtId="0" fontId="44" fillId="0" borderId="0" xfId="0" applyFont="1" applyAlignment="1" applyProtection="1">
      <alignment vertical="center"/>
      <protection hidden="1"/>
    </xf>
    <xf numFmtId="0" fontId="22" fillId="0" borderId="0" xfId="0" applyFont="1" applyAlignment="1" applyProtection="1">
      <alignment vertical="center"/>
      <protection hidden="1"/>
    </xf>
    <xf numFmtId="0" fontId="48" fillId="0" borderId="0" xfId="4" applyFont="1" applyFill="1" applyBorder="1" applyAlignment="1" applyProtection="1">
      <alignment horizontal="right" vertical="center" indent="1"/>
      <protection hidden="1"/>
    </xf>
    <xf numFmtId="0" fontId="22" fillId="0" borderId="0" xfId="0" applyFont="1" applyAlignment="1" applyProtection="1">
      <alignment horizontal="right" vertical="center"/>
      <protection hidden="1"/>
    </xf>
    <xf numFmtId="0" fontId="34" fillId="0" borderId="0" xfId="4" applyFont="1" applyFill="1" applyBorder="1" applyAlignment="1" applyProtection="1">
      <alignment horizontal="right" vertical="center"/>
      <protection hidden="1"/>
    </xf>
    <xf numFmtId="0" fontId="58" fillId="0" borderId="8" xfId="4" applyFont="1" applyFill="1" applyBorder="1" applyAlignment="1" applyProtection="1">
      <alignment horizontal="right" vertical="center" indent="1"/>
      <protection hidden="1"/>
    </xf>
    <xf numFmtId="0" fontId="36" fillId="0" borderId="4" xfId="0" quotePrefix="1" applyFont="1" applyBorder="1" applyAlignment="1" applyProtection="1">
      <alignment horizontal="right" vertical="top"/>
      <protection hidden="1"/>
    </xf>
    <xf numFmtId="0" fontId="35" fillId="0" borderId="0" xfId="0" applyFont="1" applyAlignment="1" applyProtection="1">
      <alignment vertical="center"/>
      <protection hidden="1"/>
    </xf>
    <xf numFmtId="0" fontId="25" fillId="0" borderId="0" xfId="0" applyFont="1" applyProtection="1">
      <protection hidden="1"/>
    </xf>
    <xf numFmtId="0" fontId="25" fillId="0" borderId="0" xfId="0" applyFont="1" applyAlignment="1" applyProtection="1">
      <alignment horizontal="left" vertical="center" indent="1"/>
      <protection hidden="1"/>
    </xf>
    <xf numFmtId="0" fontId="11" fillId="0" borderId="0" xfId="0" applyFont="1" applyAlignment="1" applyProtection="1">
      <alignment horizontal="left" vertical="center" wrapText="1" indent="1"/>
      <protection hidden="1"/>
    </xf>
    <xf numFmtId="0" fontId="19" fillId="0" borderId="0" xfId="0" applyFont="1" applyProtection="1">
      <protection locked="0" hidden="1"/>
    </xf>
    <xf numFmtId="2" fontId="53" fillId="2" borderId="20" xfId="0" applyNumberFormat="1" applyFont="1" applyFill="1" applyBorder="1" applyAlignment="1">
      <alignment horizontal="center" vertical="top"/>
    </xf>
    <xf numFmtId="2" fontId="53" fillId="2" borderId="21" xfId="0" applyNumberFormat="1" applyFont="1" applyFill="1" applyBorder="1" applyAlignment="1">
      <alignment horizontal="center" vertical="top"/>
    </xf>
    <xf numFmtId="1" fontId="0" fillId="0" borderId="0" xfId="0" applyNumberFormat="1"/>
    <xf numFmtId="165" fontId="0" fillId="0" borderId="0" xfId="0" applyNumberFormat="1"/>
    <xf numFmtId="2" fontId="59" fillId="0" borderId="0" xfId="0" applyNumberFormat="1" applyFont="1" applyAlignment="1">
      <alignment horizontal="left" vertical="center"/>
    </xf>
    <xf numFmtId="0" fontId="1" fillId="2" borderId="0" xfId="0" applyFont="1" applyFill="1" applyAlignment="1">
      <alignment vertical="top" wrapText="1"/>
    </xf>
    <xf numFmtId="0" fontId="1" fillId="2" borderId="0" xfId="0" applyFont="1" applyFill="1" applyAlignment="1">
      <alignment vertical="center"/>
    </xf>
    <xf numFmtId="0" fontId="1" fillId="0" borderId="0" xfId="0" applyFont="1"/>
    <xf numFmtId="0" fontId="1" fillId="0" borderId="1" xfId="0" applyFont="1" applyBorder="1"/>
    <xf numFmtId="0" fontId="1" fillId="0" borderId="10" xfId="0" applyFont="1" applyBorder="1"/>
    <xf numFmtId="0" fontId="1" fillId="0" borderId="7" xfId="0" applyFont="1" applyBorder="1"/>
    <xf numFmtId="0" fontId="1" fillId="0" borderId="2" xfId="0" applyFont="1" applyBorder="1" applyAlignment="1" applyProtection="1">
      <alignment vertical="center"/>
      <protection hidden="1"/>
    </xf>
    <xf numFmtId="0" fontId="1" fillId="0" borderId="0" xfId="0" quotePrefix="1" applyFont="1" applyAlignment="1" applyProtection="1">
      <alignment vertical="center"/>
      <protection hidden="1"/>
    </xf>
    <xf numFmtId="0" fontId="1" fillId="0" borderId="0" xfId="0" quotePrefix="1" applyFont="1" applyAlignment="1" applyProtection="1">
      <alignment horizontal="right" vertical="center"/>
      <protection hidden="1"/>
    </xf>
    <xf numFmtId="0" fontId="1" fillId="2" borderId="0" xfId="0" applyFont="1" applyFill="1" applyAlignment="1" applyProtection="1">
      <alignment vertical="center"/>
      <protection hidden="1"/>
    </xf>
    <xf numFmtId="0" fontId="1" fillId="0" borderId="0" xfId="0" applyFont="1" applyAlignment="1" applyProtection="1">
      <alignment vertical="center"/>
      <protection hidden="1"/>
    </xf>
    <xf numFmtId="0" fontId="1" fillId="0" borderId="8" xfId="0" applyFont="1" applyBorder="1"/>
    <xf numFmtId="0" fontId="1" fillId="0" borderId="3" xfId="0" applyFont="1" applyBorder="1" applyAlignment="1" applyProtection="1">
      <alignment vertical="center"/>
      <protection hidden="1"/>
    </xf>
    <xf numFmtId="0" fontId="1" fillId="0" borderId="4" xfId="0" applyFont="1" applyBorder="1" applyAlignment="1" applyProtection="1">
      <alignment vertical="center"/>
      <protection hidden="1"/>
    </xf>
    <xf numFmtId="0" fontId="1" fillId="0" borderId="4" xfId="0" applyFont="1" applyBorder="1"/>
    <xf numFmtId="0" fontId="1" fillId="0" borderId="9" xfId="0" applyFont="1" applyBorder="1"/>
    <xf numFmtId="0" fontId="1" fillId="0" borderId="0" xfId="0" applyFont="1" applyAlignment="1" applyProtection="1">
      <alignment horizontal="right"/>
      <protection hidden="1"/>
    </xf>
    <xf numFmtId="0" fontId="1" fillId="2" borderId="15" xfId="0" applyFont="1" applyFill="1" applyBorder="1" applyAlignment="1">
      <alignment horizontal="center" vertical="center" wrapText="1"/>
    </xf>
    <xf numFmtId="0" fontId="1" fillId="0" borderId="0" xfId="0" applyFont="1" applyAlignment="1">
      <alignment vertical="top"/>
    </xf>
    <xf numFmtId="0" fontId="1" fillId="2" borderId="0" xfId="0" applyFont="1" applyFill="1" applyAlignment="1">
      <alignment horizontal="center" vertical="center" wrapText="1"/>
    </xf>
    <xf numFmtId="0" fontId="1" fillId="0" borderId="8" xfId="0" quotePrefix="1" applyFont="1" applyBorder="1" applyAlignment="1" applyProtection="1">
      <alignment vertical="center"/>
      <protection hidden="1"/>
    </xf>
    <xf numFmtId="0" fontId="1" fillId="2" borderId="51" xfId="0" applyFont="1" applyFill="1" applyBorder="1"/>
    <xf numFmtId="0" fontId="19" fillId="2" borderId="31" xfId="0" applyFont="1" applyFill="1" applyBorder="1" applyAlignment="1">
      <alignment horizontal="center" vertical="center" wrapText="1"/>
    </xf>
    <xf numFmtId="0" fontId="24" fillId="2" borderId="15" xfId="0" applyFont="1" applyFill="1" applyBorder="1" applyAlignment="1">
      <alignment horizontal="center" vertical="center" wrapText="1"/>
    </xf>
    <xf numFmtId="0" fontId="62" fillId="2" borderId="0" xfId="0" applyFont="1" applyFill="1" applyAlignment="1">
      <alignment horizontal="center" vertical="center" wrapText="1"/>
    </xf>
    <xf numFmtId="0" fontId="63" fillId="2" borderId="0" xfId="0" applyFont="1" applyFill="1" applyAlignment="1">
      <alignment horizontal="center" vertical="center" wrapText="1"/>
    </xf>
    <xf numFmtId="0" fontId="67" fillId="5" borderId="31" xfId="0" applyFont="1" applyFill="1" applyBorder="1" applyAlignment="1">
      <alignment horizontal="left" vertical="top" wrapText="1" indent="1"/>
    </xf>
    <xf numFmtId="0" fontId="69" fillId="0" borderId="0" xfId="0" applyFont="1"/>
    <xf numFmtId="0" fontId="16" fillId="2" borderId="0" xfId="0" applyFont="1" applyFill="1" applyAlignment="1">
      <alignment vertical="top"/>
    </xf>
    <xf numFmtId="0" fontId="72" fillId="2" borderId="0" xfId="0" applyFont="1" applyFill="1" applyAlignment="1">
      <alignment vertical="top" wrapText="1"/>
    </xf>
    <xf numFmtId="0" fontId="16" fillId="0" borderId="0" xfId="0" applyFont="1"/>
    <xf numFmtId="0" fontId="73" fillId="2" borderId="0" xfId="4" applyFont="1" applyFill="1" applyAlignment="1">
      <alignment horizontal="left" vertical="top"/>
    </xf>
    <xf numFmtId="0" fontId="73" fillId="0" borderId="0" xfId="4" applyFont="1"/>
    <xf numFmtId="0" fontId="1" fillId="0" borderId="0" xfId="0" applyFont="1" applyAlignment="1">
      <alignment vertical="center"/>
    </xf>
    <xf numFmtId="0" fontId="74" fillId="2" borderId="0" xfId="0" applyFont="1" applyFill="1" applyAlignment="1">
      <alignment horizontal="center" vertical="center" wrapText="1"/>
    </xf>
    <xf numFmtId="0" fontId="75" fillId="2" borderId="0" xfId="0" applyFont="1" applyFill="1" applyAlignment="1">
      <alignment horizontal="center" vertical="center" wrapText="1"/>
    </xf>
    <xf numFmtId="0" fontId="76" fillId="2" borderId="0" xfId="0" applyFont="1" applyFill="1" applyAlignment="1">
      <alignment horizontal="center" vertical="center" wrapText="1"/>
    </xf>
    <xf numFmtId="0" fontId="0" fillId="5" borderId="0" xfId="0" applyFill="1" applyAlignment="1">
      <alignment wrapText="1"/>
    </xf>
    <xf numFmtId="0" fontId="0" fillId="5" borderId="0" xfId="0" applyFill="1"/>
    <xf numFmtId="0" fontId="0" fillId="0" borderId="0" xfId="0" applyAlignment="1">
      <alignment horizontal="left" vertical="center"/>
    </xf>
    <xf numFmtId="0" fontId="8" fillId="3" borderId="0" xfId="0" applyFont="1" applyFill="1" applyAlignment="1">
      <alignment horizontal="center" vertical="center" wrapText="1"/>
    </xf>
    <xf numFmtId="10" fontId="11" fillId="2" borderId="0" xfId="0" applyNumberFormat="1" applyFont="1" applyFill="1"/>
    <xf numFmtId="10" fontId="53" fillId="2" borderId="16" xfId="0" applyNumberFormat="1" applyFont="1" applyFill="1" applyBorder="1" applyAlignment="1">
      <alignment horizontal="center" vertical="top"/>
    </xf>
    <xf numFmtId="0" fontId="7" fillId="5" borderId="31" xfId="0" applyFont="1" applyFill="1" applyBorder="1" applyAlignment="1">
      <alignment horizontal="left" vertical="top" wrapText="1" indent="1"/>
    </xf>
    <xf numFmtId="0" fontId="64" fillId="2" borderId="17" xfId="0" quotePrefix="1" applyFont="1" applyFill="1" applyBorder="1" applyAlignment="1">
      <alignment horizontal="left" vertical="top" indent="1"/>
    </xf>
    <xf numFmtId="2" fontId="7" fillId="0" borderId="16" xfId="0" applyNumberFormat="1" applyFont="1" applyBorder="1" applyAlignment="1">
      <alignment horizontal="center" vertical="top"/>
    </xf>
    <xf numFmtId="4" fontId="11" fillId="0" borderId="16" xfId="0" applyNumberFormat="1" applyFont="1" applyBorder="1" applyAlignment="1">
      <alignment horizontal="center" vertical="top"/>
    </xf>
    <xf numFmtId="0" fontId="11" fillId="0" borderId="0" xfId="0" applyFont="1"/>
    <xf numFmtId="2" fontId="11" fillId="0" borderId="16" xfId="0" applyNumberFormat="1" applyFont="1" applyBorder="1" applyAlignment="1">
      <alignment horizontal="center" vertical="top"/>
    </xf>
    <xf numFmtId="10" fontId="11" fillId="0" borderId="16" xfId="1" applyNumberFormat="1" applyFont="1" applyFill="1" applyBorder="1" applyAlignment="1">
      <alignment horizontal="center" vertical="top"/>
    </xf>
    <xf numFmtId="10" fontId="7" fillId="0" borderId="16" xfId="1" applyNumberFormat="1" applyFont="1" applyFill="1" applyBorder="1" applyAlignment="1">
      <alignment horizontal="center" vertical="top"/>
    </xf>
    <xf numFmtId="10" fontId="11" fillId="0" borderId="16" xfId="0" applyNumberFormat="1" applyFont="1" applyBorder="1" applyAlignment="1">
      <alignment horizontal="center" vertical="top"/>
    </xf>
    <xf numFmtId="10" fontId="7" fillId="0" borderId="16" xfId="0" applyNumberFormat="1" applyFont="1" applyBorder="1" applyAlignment="1">
      <alignment horizontal="center" vertical="top"/>
    </xf>
    <xf numFmtId="4" fontId="54" fillId="0" borderId="16" xfId="0" applyNumberFormat="1" applyFont="1" applyBorder="1" applyAlignment="1">
      <alignment horizontal="center" vertical="top"/>
    </xf>
    <xf numFmtId="2" fontId="38" fillId="0" borderId="16" xfId="0" applyNumberFormat="1" applyFont="1" applyBorder="1" applyAlignment="1">
      <alignment horizontal="center" vertical="top"/>
    </xf>
    <xf numFmtId="10" fontId="11" fillId="0" borderId="0" xfId="0" applyNumberFormat="1" applyFont="1"/>
    <xf numFmtId="2" fontId="60" fillId="0" borderId="16" xfId="0" applyNumberFormat="1" applyFont="1" applyBorder="1" applyAlignment="1">
      <alignment horizontal="center" vertical="top"/>
    </xf>
    <xf numFmtId="0" fontId="52" fillId="0" borderId="0" xfId="0" applyFont="1"/>
    <xf numFmtId="10" fontId="60" fillId="0" borderId="16" xfId="0" applyNumberFormat="1" applyFont="1" applyBorder="1" applyAlignment="1">
      <alignment horizontal="center" vertical="top"/>
    </xf>
    <xf numFmtId="10" fontId="11" fillId="0" borderId="0" xfId="0" applyNumberFormat="1" applyFont="1" applyAlignment="1">
      <alignment horizontal="center" vertical="top"/>
    </xf>
    <xf numFmtId="10" fontId="52" fillId="0" borderId="0" xfId="0" applyNumberFormat="1" applyFont="1" applyAlignment="1">
      <alignment horizontal="center" vertical="top"/>
    </xf>
    <xf numFmtId="10" fontId="11" fillId="0" borderId="0" xfId="1" applyNumberFormat="1" applyFont="1" applyFill="1"/>
    <xf numFmtId="3" fontId="52" fillId="0" borderId="0" xfId="0" applyNumberFormat="1" applyFont="1" applyAlignment="1">
      <alignment horizontal="center" vertical="top"/>
    </xf>
    <xf numFmtId="10" fontId="1" fillId="0" borderId="0" xfId="0" applyNumberFormat="1" applyFont="1"/>
    <xf numFmtId="1" fontId="11" fillId="0" borderId="16" xfId="0" applyNumberFormat="1" applyFont="1" applyBorder="1" applyAlignment="1">
      <alignment horizontal="center" vertical="top"/>
    </xf>
    <xf numFmtId="1" fontId="11" fillId="0" borderId="0" xfId="0" applyNumberFormat="1" applyFont="1"/>
    <xf numFmtId="1" fontId="7" fillId="0" borderId="16" xfId="0" applyNumberFormat="1" applyFont="1" applyBorder="1" applyAlignment="1">
      <alignment horizontal="center" vertical="top"/>
    </xf>
    <xf numFmtId="2" fontId="57" fillId="0" borderId="16" xfId="0" applyNumberFormat="1" applyFont="1" applyBorder="1" applyAlignment="1">
      <alignment horizontal="center" vertical="top"/>
    </xf>
    <xf numFmtId="10" fontId="1" fillId="0" borderId="0" xfId="1" applyNumberFormat="1" applyFont="1" applyFill="1"/>
    <xf numFmtId="10" fontId="57" fillId="0" borderId="0" xfId="0" applyNumberFormat="1" applyFont="1" applyAlignment="1">
      <alignment horizontal="center" vertical="top"/>
    </xf>
    <xf numFmtId="2" fontId="57" fillId="0" borderId="0" xfId="0" applyNumberFormat="1" applyFont="1" applyAlignment="1">
      <alignment horizontal="center" vertical="top"/>
    </xf>
    <xf numFmtId="10" fontId="50" fillId="0" borderId="0" xfId="0" applyNumberFormat="1" applyFont="1" applyAlignment="1">
      <alignment horizontal="center" vertical="top"/>
    </xf>
    <xf numFmtId="2" fontId="50" fillId="0" borderId="0" xfId="0" applyNumberFormat="1" applyFont="1" applyAlignment="1">
      <alignment horizontal="center" vertical="top"/>
    </xf>
    <xf numFmtId="0" fontId="11" fillId="0" borderId="0" xfId="0" applyFont="1" applyAlignment="1">
      <alignment vertical="center"/>
    </xf>
    <xf numFmtId="0" fontId="7" fillId="0" borderId="0" xfId="0" applyFont="1" applyAlignment="1">
      <alignment vertical="center"/>
    </xf>
    <xf numFmtId="10" fontId="11" fillId="0" borderId="16" xfId="0" applyNumberFormat="1" applyFont="1" applyBorder="1" applyAlignment="1">
      <alignment horizontal="center" vertical="center"/>
    </xf>
    <xf numFmtId="10" fontId="11" fillId="0" borderId="0" xfId="0" applyNumberFormat="1" applyFont="1" applyAlignment="1">
      <alignment vertical="center"/>
    </xf>
    <xf numFmtId="10" fontId="7" fillId="0" borderId="16" xfId="0" applyNumberFormat="1" applyFont="1" applyBorder="1" applyAlignment="1">
      <alignment horizontal="center" vertical="center"/>
    </xf>
    <xf numFmtId="10" fontId="11" fillId="0" borderId="16" xfId="1" applyNumberFormat="1" applyFont="1" applyFill="1" applyBorder="1" applyAlignment="1">
      <alignment horizontal="center" vertical="center"/>
    </xf>
    <xf numFmtId="10" fontId="7" fillId="0" borderId="16" xfId="1" applyNumberFormat="1" applyFont="1" applyFill="1" applyBorder="1" applyAlignment="1">
      <alignment horizontal="center" vertical="center"/>
    </xf>
    <xf numFmtId="9" fontId="11" fillId="0" borderId="16" xfId="0" applyNumberFormat="1" applyFont="1" applyBorder="1" applyAlignment="1">
      <alignment horizontal="center" vertical="center"/>
    </xf>
    <xf numFmtId="9" fontId="7" fillId="0" borderId="16" xfId="0" applyNumberFormat="1" applyFont="1" applyBorder="1" applyAlignment="1">
      <alignment horizontal="center" vertical="center"/>
    </xf>
    <xf numFmtId="0" fontId="55" fillId="0" borderId="0" xfId="0" applyFont="1" applyAlignment="1">
      <alignment vertical="center" wrapText="1"/>
    </xf>
    <xf numFmtId="17" fontId="78" fillId="2" borderId="0" xfId="0" applyNumberFormat="1" applyFont="1" applyFill="1" applyAlignment="1">
      <alignment horizontal="right" vertical="center"/>
    </xf>
    <xf numFmtId="0" fontId="19" fillId="0" borderId="0" xfId="0" quotePrefix="1" applyFont="1" applyProtection="1">
      <protection locked="0" hidden="1"/>
    </xf>
    <xf numFmtId="0" fontId="24" fillId="15" borderId="52" xfId="0" applyFont="1" applyFill="1" applyBorder="1" applyAlignment="1">
      <alignment horizontal="right"/>
    </xf>
    <xf numFmtId="0" fontId="24" fillId="15" borderId="53" xfId="0" applyFont="1" applyFill="1" applyBorder="1" applyAlignment="1">
      <alignment horizontal="right"/>
    </xf>
    <xf numFmtId="0" fontId="24" fillId="15" borderId="54" xfId="0" applyFont="1" applyFill="1" applyBorder="1" applyAlignment="1">
      <alignment horizontal="right"/>
    </xf>
    <xf numFmtId="0" fontId="24" fillId="15" borderId="0" xfId="0" applyFont="1" applyFill="1" applyAlignment="1">
      <alignment horizontal="right"/>
    </xf>
    <xf numFmtId="14" fontId="19" fillId="0" borderId="39" xfId="0" applyNumberFormat="1" applyFont="1" applyBorder="1" applyAlignment="1" applyProtection="1">
      <alignment horizontal="left" vertical="center" indent="1"/>
      <protection locked="0" hidden="1"/>
    </xf>
    <xf numFmtId="14" fontId="19" fillId="2" borderId="0" xfId="0" applyNumberFormat="1" applyFont="1" applyFill="1" applyAlignment="1" applyProtection="1">
      <alignment horizontal="left" vertical="center" indent="1"/>
      <protection locked="0" hidden="1"/>
    </xf>
    <xf numFmtId="0" fontId="35" fillId="15" borderId="54" xfId="0" applyFont="1" applyFill="1" applyBorder="1" applyAlignment="1" applyProtection="1">
      <alignment horizontal="right" vertical="center"/>
      <protection hidden="1"/>
    </xf>
    <xf numFmtId="0" fontId="1" fillId="15" borderId="0" xfId="0" applyFont="1" applyFill="1" applyAlignment="1" applyProtection="1">
      <alignment vertical="center"/>
      <protection hidden="1"/>
    </xf>
    <xf numFmtId="0" fontId="1" fillId="15" borderId="0" xfId="0" applyFont="1" applyFill="1" applyAlignment="1">
      <alignment horizontal="left"/>
    </xf>
    <xf numFmtId="0" fontId="1" fillId="15" borderId="0" xfId="0" applyFont="1" applyFill="1"/>
    <xf numFmtId="0" fontId="1" fillId="15" borderId="0" xfId="0" applyFont="1" applyFill="1" applyAlignment="1">
      <alignment horizontal="right" indent="2"/>
    </xf>
    <xf numFmtId="0" fontId="1" fillId="15" borderId="54" xfId="0" applyFont="1" applyFill="1" applyBorder="1" applyAlignment="1" applyProtection="1">
      <alignment vertical="center"/>
      <protection hidden="1"/>
    </xf>
    <xf numFmtId="0" fontId="36" fillId="15" borderId="0" xfId="0" quotePrefix="1" applyFont="1" applyFill="1" applyAlignment="1" applyProtection="1">
      <alignment horizontal="right" vertical="top"/>
      <protection hidden="1"/>
    </xf>
    <xf numFmtId="0" fontId="16" fillId="15" borderId="0" xfId="0" quotePrefix="1" applyFont="1" applyFill="1" applyAlignment="1" applyProtection="1">
      <alignment horizontal="right" vertical="center" indent="2"/>
      <protection hidden="1"/>
    </xf>
    <xf numFmtId="0" fontId="11" fillId="2" borderId="0" xfId="0" applyFont="1" applyFill="1" applyAlignment="1" applyProtection="1">
      <alignment horizontal="right" vertical="center"/>
      <protection hidden="1"/>
    </xf>
    <xf numFmtId="0" fontId="11" fillId="2" borderId="0" xfId="0" applyFont="1" applyFill="1" applyProtection="1">
      <protection locked="0" hidden="1"/>
    </xf>
    <xf numFmtId="0" fontId="47" fillId="2" borderId="0" xfId="4" applyFont="1" applyFill="1" applyAlignment="1">
      <alignment horizontal="left" vertical="top"/>
    </xf>
    <xf numFmtId="0" fontId="1" fillId="15" borderId="0" xfId="0" quotePrefix="1" applyFont="1" applyFill="1" applyAlignment="1">
      <alignment horizontal="right" indent="2"/>
    </xf>
    <xf numFmtId="0" fontId="24" fillId="15" borderId="55" xfId="0" applyFont="1" applyFill="1" applyBorder="1" applyAlignment="1">
      <alignment horizontal="right"/>
    </xf>
    <xf numFmtId="0" fontId="24" fillId="15" borderId="56" xfId="0" applyFont="1" applyFill="1" applyBorder="1" applyAlignment="1">
      <alignment horizontal="right"/>
    </xf>
    <xf numFmtId="3" fontId="1" fillId="2" borderId="15" xfId="0" applyNumberFormat="1" applyFont="1" applyFill="1" applyBorder="1" applyAlignment="1" applyProtection="1">
      <alignment horizontal="right" vertical="center" wrapText="1" indent="1"/>
      <protection hidden="1"/>
    </xf>
    <xf numFmtId="0" fontId="19" fillId="4" borderId="57" xfId="0" applyFont="1" applyFill="1" applyBorder="1" applyAlignment="1" applyProtection="1">
      <alignment horizontal="right" vertical="center" indent="1"/>
      <protection hidden="1"/>
    </xf>
    <xf numFmtId="0" fontId="48" fillId="2" borderId="0" xfId="4" applyFont="1" applyFill="1" applyBorder="1" applyAlignment="1" applyProtection="1">
      <alignment horizontal="right" vertical="center" indent="1"/>
      <protection hidden="1"/>
    </xf>
    <xf numFmtId="3" fontId="1" fillId="2" borderId="15" xfId="0" applyNumberFormat="1" applyFont="1" applyFill="1" applyBorder="1" applyAlignment="1" applyProtection="1">
      <alignment horizontal="right" vertical="top" wrapText="1" indent="1"/>
      <protection hidden="1"/>
    </xf>
    <xf numFmtId="0" fontId="11" fillId="2" borderId="0" xfId="0" applyFont="1" applyFill="1" applyAlignment="1" applyProtection="1">
      <alignment horizontal="left" vertical="top" wrapText="1"/>
      <protection hidden="1"/>
    </xf>
    <xf numFmtId="10" fontId="1" fillId="2" borderId="15" xfId="1" applyNumberFormat="1" applyFont="1" applyFill="1" applyBorder="1" applyAlignment="1" applyProtection="1">
      <alignment horizontal="right" vertical="top" wrapText="1" indent="1"/>
      <protection hidden="1"/>
    </xf>
    <xf numFmtId="10" fontId="1" fillId="2" borderId="15" xfId="1" applyNumberFormat="1" applyFont="1" applyFill="1" applyBorder="1" applyAlignment="1" applyProtection="1">
      <alignment horizontal="right" vertical="center" wrapText="1" indent="1"/>
      <protection hidden="1"/>
    </xf>
    <xf numFmtId="0" fontId="80" fillId="17" borderId="0" xfId="0" applyFont="1" applyFill="1" applyAlignment="1">
      <alignment vertical="center"/>
    </xf>
    <xf numFmtId="0" fontId="81" fillId="17" borderId="0" xfId="0" applyFont="1" applyFill="1" applyAlignment="1">
      <alignment vertical="center"/>
    </xf>
    <xf numFmtId="0" fontId="82" fillId="17" borderId="0" xfId="0" applyFont="1" applyFill="1" applyAlignment="1">
      <alignment vertical="center"/>
    </xf>
    <xf numFmtId="0" fontId="7" fillId="2" borderId="0" xfId="0" applyFont="1" applyFill="1" applyAlignment="1">
      <alignment vertical="center" wrapText="1"/>
    </xf>
    <xf numFmtId="0" fontId="24" fillId="16" borderId="13" xfId="0" applyFont="1" applyFill="1" applyBorder="1" applyAlignment="1">
      <alignment horizontal="center" vertical="center" wrapText="1"/>
    </xf>
    <xf numFmtId="0" fontId="24" fillId="18" borderId="16" xfId="0" applyFont="1" applyFill="1" applyBorder="1" applyAlignment="1">
      <alignment horizontal="center" vertical="center" wrapText="1"/>
    </xf>
    <xf numFmtId="2" fontId="24" fillId="2" borderId="16" xfId="0" applyNumberFormat="1" applyFont="1" applyFill="1" applyBorder="1" applyAlignment="1">
      <alignment horizontal="right" vertical="top" indent="1"/>
    </xf>
    <xf numFmtId="0" fontId="24" fillId="12" borderId="31" xfId="0" applyFont="1" applyFill="1" applyBorder="1" applyAlignment="1">
      <alignment horizontal="center" vertical="top" wrapText="1"/>
    </xf>
    <xf numFmtId="0" fontId="1" fillId="2" borderId="0" xfId="0" applyFont="1" applyFill="1" applyAlignment="1">
      <alignment horizontal="right" indent="1"/>
    </xf>
    <xf numFmtId="0" fontId="0" fillId="2" borderId="0" xfId="0" applyFill="1" applyAlignment="1">
      <alignment horizontal="center"/>
    </xf>
    <xf numFmtId="10" fontId="1" fillId="2" borderId="16" xfId="0" applyNumberFormat="1" applyFont="1" applyFill="1" applyBorder="1" applyAlignment="1">
      <alignment horizontal="right" vertical="top" indent="1"/>
    </xf>
    <xf numFmtId="10" fontId="1" fillId="2" borderId="16" xfId="1" applyNumberFormat="1" applyFont="1" applyFill="1" applyBorder="1" applyAlignment="1">
      <alignment horizontal="right" vertical="top" indent="1"/>
    </xf>
    <xf numFmtId="0" fontId="1" fillId="2" borderId="0" xfId="0" applyFont="1" applyFill="1" applyAlignment="1">
      <alignment horizontal="center"/>
    </xf>
    <xf numFmtId="0" fontId="24" fillId="13" borderId="31" xfId="0" applyFont="1" applyFill="1" applyBorder="1" applyAlignment="1">
      <alignment horizontal="center" vertical="top" wrapText="1"/>
    </xf>
    <xf numFmtId="0" fontId="24" fillId="5" borderId="31" xfId="0" applyFont="1" applyFill="1" applyBorder="1" applyAlignment="1">
      <alignment horizontal="center" vertical="top"/>
    </xf>
    <xf numFmtId="0" fontId="46" fillId="8" borderId="31" xfId="0" applyFont="1" applyFill="1" applyBorder="1" applyAlignment="1">
      <alignment horizontal="center" vertical="top"/>
    </xf>
    <xf numFmtId="0" fontId="45" fillId="2" borderId="0" xfId="0" applyFont="1" applyFill="1" applyAlignment="1">
      <alignment horizontal="right"/>
    </xf>
    <xf numFmtId="0" fontId="27" fillId="2" borderId="0" xfId="0" applyFont="1" applyFill="1" applyAlignment="1">
      <alignment horizontal="right" indent="1"/>
    </xf>
    <xf numFmtId="10" fontId="1" fillId="2" borderId="0" xfId="1" applyNumberFormat="1" applyFont="1" applyFill="1" applyBorder="1" applyAlignment="1">
      <alignment horizontal="right" vertical="top" indent="1"/>
    </xf>
    <xf numFmtId="10" fontId="24" fillId="2" borderId="16" xfId="1" applyNumberFormat="1" applyFont="1" applyFill="1" applyBorder="1" applyAlignment="1">
      <alignment horizontal="right" vertical="top" wrapText="1" indent="1"/>
    </xf>
    <xf numFmtId="0" fontId="80" fillId="19" borderId="0" xfId="0" applyFont="1" applyFill="1" applyAlignment="1">
      <alignment vertical="center"/>
    </xf>
    <xf numFmtId="0" fontId="82" fillId="19" borderId="0" xfId="0" applyFont="1" applyFill="1" applyAlignment="1">
      <alignment vertical="center"/>
    </xf>
    <xf numFmtId="0" fontId="77" fillId="19" borderId="0" xfId="0" applyFont="1" applyFill="1" applyAlignment="1">
      <alignment vertical="center"/>
    </xf>
    <xf numFmtId="0" fontId="24" fillId="16" borderId="13" xfId="0" applyFont="1" applyFill="1" applyBorder="1" applyAlignment="1">
      <alignment horizontal="right" vertical="center" wrapText="1" indent="1"/>
    </xf>
    <xf numFmtId="0" fontId="24" fillId="20" borderId="0" xfId="0" applyFont="1" applyFill="1" applyAlignment="1">
      <alignment horizontal="center" vertical="center" wrapText="1"/>
    </xf>
    <xf numFmtId="10" fontId="24" fillId="2" borderId="16" xfId="1" applyNumberFormat="1" applyFont="1" applyFill="1" applyBorder="1" applyAlignment="1">
      <alignment horizontal="right" vertical="top" indent="1"/>
    </xf>
    <xf numFmtId="0" fontId="24" fillId="13" borderId="36" xfId="0" applyFont="1" applyFill="1" applyBorder="1" applyAlignment="1">
      <alignment horizontal="center" vertical="top" wrapText="1"/>
    </xf>
    <xf numFmtId="0" fontId="24" fillId="13" borderId="62" xfId="0" applyFont="1" applyFill="1" applyBorder="1" applyAlignment="1">
      <alignment horizontal="center" vertical="top" wrapText="1"/>
    </xf>
    <xf numFmtId="4" fontId="1" fillId="2" borderId="0" xfId="0" applyNumberFormat="1" applyFont="1" applyFill="1" applyAlignment="1">
      <alignment horizontal="center" vertical="top" wrapText="1"/>
    </xf>
    <xf numFmtId="0" fontId="24" fillId="2" borderId="0" xfId="0" applyFont="1" applyFill="1" applyAlignment="1">
      <alignment horizontal="right" vertical="top" wrapText="1" indent="1"/>
    </xf>
    <xf numFmtId="2" fontId="24" fillId="2" borderId="16" xfId="0" applyNumberFormat="1" applyFont="1" applyFill="1" applyBorder="1" applyAlignment="1">
      <alignment horizontal="center" vertical="top"/>
    </xf>
    <xf numFmtId="0" fontId="24" fillId="2" borderId="0" xfId="0" applyFont="1" applyFill="1" applyAlignment="1">
      <alignment horizontal="center" vertical="top" wrapText="1"/>
    </xf>
    <xf numFmtId="0" fontId="16" fillId="2" borderId="0" xfId="0" applyFont="1" applyFill="1" applyAlignment="1">
      <alignment horizontal="center" vertical="top" wrapText="1"/>
    </xf>
    <xf numFmtId="0" fontId="19" fillId="13" borderId="31" xfId="0" applyFont="1" applyFill="1" applyBorder="1" applyAlignment="1">
      <alignment horizontal="center" vertical="top" wrapText="1"/>
    </xf>
    <xf numFmtId="2" fontId="24" fillId="2" borderId="16" xfId="0" applyNumberFormat="1" applyFont="1" applyFill="1" applyBorder="1" applyAlignment="1">
      <alignment horizontal="right" vertical="center" wrapText="1"/>
    </xf>
    <xf numFmtId="0" fontId="24" fillId="2" borderId="0" xfId="0" applyFont="1" applyFill="1" applyAlignment="1">
      <alignment vertical="top" wrapText="1"/>
    </xf>
    <xf numFmtId="3" fontId="1" fillId="2" borderId="0" xfId="0" applyNumberFormat="1" applyFont="1" applyFill="1" applyAlignment="1">
      <alignment horizontal="right" vertical="top" indent="1"/>
    </xf>
    <xf numFmtId="0" fontId="0" fillId="0" borderId="0" xfId="0" applyAlignment="1">
      <alignment horizontal="left" vertical="top"/>
    </xf>
    <xf numFmtId="14" fontId="26" fillId="2" borderId="58" xfId="0" applyNumberFormat="1" applyFont="1" applyFill="1" applyBorder="1" applyAlignment="1" applyProtection="1">
      <alignment horizontal="left" vertical="center" indent="1"/>
      <protection locked="0" hidden="1"/>
    </xf>
    <xf numFmtId="0" fontId="80" fillId="21" borderId="0" xfId="0" applyFont="1" applyFill="1" applyAlignment="1">
      <alignment vertical="center"/>
    </xf>
    <xf numFmtId="0" fontId="81" fillId="21" borderId="0" xfId="0" applyFont="1" applyFill="1" applyAlignment="1">
      <alignment vertical="center"/>
    </xf>
    <xf numFmtId="0" fontId="82" fillId="21" borderId="0" xfId="0" applyFont="1" applyFill="1" applyAlignment="1">
      <alignment vertical="center"/>
    </xf>
    <xf numFmtId="0" fontId="24" fillId="22" borderId="16" xfId="0" applyFont="1" applyFill="1" applyBorder="1" applyAlignment="1">
      <alignment horizontal="center" vertical="center" wrapText="1"/>
    </xf>
    <xf numFmtId="0" fontId="24" fillId="5" borderId="31" xfId="0" applyFont="1" applyFill="1" applyBorder="1" applyAlignment="1">
      <alignment horizontal="center" vertical="top" wrapText="1"/>
    </xf>
    <xf numFmtId="10" fontId="19" fillId="2" borderId="16" xfId="1" applyNumberFormat="1" applyFont="1" applyFill="1" applyBorder="1" applyAlignment="1">
      <alignment horizontal="right" vertical="top" indent="1"/>
    </xf>
    <xf numFmtId="37" fontId="24" fillId="2" borderId="16" xfId="6" applyNumberFormat="1" applyFont="1" applyFill="1" applyBorder="1" applyAlignment="1">
      <alignment horizontal="right" vertical="top" indent="1"/>
    </xf>
    <xf numFmtId="10" fontId="24" fillId="2" borderId="67" xfId="1" applyNumberFormat="1" applyFont="1" applyFill="1" applyBorder="1" applyAlignment="1">
      <alignment horizontal="right" vertical="top" indent="1"/>
    </xf>
    <xf numFmtId="2" fontId="24" fillId="2" borderId="16" xfId="1" applyNumberFormat="1" applyFont="1" applyFill="1" applyBorder="1" applyAlignment="1">
      <alignment horizontal="right" vertical="top" indent="1"/>
    </xf>
    <xf numFmtId="4" fontId="24" fillId="2" borderId="16" xfId="1" applyNumberFormat="1" applyFont="1" applyFill="1" applyBorder="1" applyAlignment="1">
      <alignment horizontal="right" vertical="top" indent="1"/>
    </xf>
    <xf numFmtId="3" fontId="24" fillId="2" borderId="16" xfId="1" applyNumberFormat="1" applyFont="1" applyFill="1" applyBorder="1" applyAlignment="1">
      <alignment horizontal="right" vertical="top" indent="1"/>
    </xf>
    <xf numFmtId="3" fontId="24" fillId="2" borderId="16" xfId="1" applyNumberFormat="1" applyFont="1" applyFill="1" applyBorder="1" applyAlignment="1">
      <alignment horizontal="center" vertical="center" wrapText="1"/>
    </xf>
    <xf numFmtId="10" fontId="24" fillId="2" borderId="0" xfId="1" applyNumberFormat="1" applyFont="1" applyFill="1" applyBorder="1" applyAlignment="1">
      <alignment horizontal="center" vertical="center" wrapText="1"/>
    </xf>
    <xf numFmtId="4" fontId="24" fillId="2" borderId="16" xfId="1" applyNumberFormat="1" applyFont="1" applyFill="1" applyBorder="1" applyAlignment="1">
      <alignment horizontal="center" vertical="center" wrapText="1"/>
    </xf>
    <xf numFmtId="0" fontId="80" fillId="23" borderId="0" xfId="0" applyFont="1" applyFill="1" applyAlignment="1">
      <alignment vertical="center"/>
    </xf>
    <xf numFmtId="0" fontId="81" fillId="23" borderId="0" xfId="0" applyFont="1" applyFill="1" applyAlignment="1">
      <alignment vertical="center"/>
    </xf>
    <xf numFmtId="0" fontId="82" fillId="23" borderId="0" xfId="0" applyFont="1" applyFill="1" applyAlignment="1">
      <alignment vertical="center"/>
    </xf>
    <xf numFmtId="0" fontId="86" fillId="2" borderId="0" xfId="0" applyFont="1" applyFill="1" applyAlignment="1">
      <alignment vertical="center" wrapText="1"/>
    </xf>
    <xf numFmtId="0" fontId="19" fillId="16" borderId="13" xfId="0" applyFont="1" applyFill="1" applyBorder="1" applyAlignment="1">
      <alignment horizontal="center" vertical="center" wrapText="1"/>
    </xf>
    <xf numFmtId="0" fontId="46" fillId="24" borderId="16" xfId="0" applyFont="1" applyFill="1" applyBorder="1" applyAlignment="1">
      <alignment horizontal="center" vertical="center" wrapText="1"/>
    </xf>
    <xf numFmtId="2" fontId="24" fillId="2" borderId="16" xfId="1" applyNumberFormat="1" applyFont="1" applyFill="1" applyBorder="1" applyAlignment="1">
      <alignment horizontal="center" vertical="center" wrapText="1"/>
    </xf>
    <xf numFmtId="0" fontId="46" fillId="8" borderId="31" xfId="0" applyFont="1" applyFill="1" applyBorder="1" applyAlignment="1">
      <alignment horizontal="center" vertical="top" wrapText="1"/>
    </xf>
    <xf numFmtId="14" fontId="0" fillId="0" borderId="0" xfId="0" applyNumberFormat="1" applyAlignment="1">
      <alignment horizontal="center" vertical="top"/>
    </xf>
    <xf numFmtId="0" fontId="0" fillId="25" borderId="0" xfId="0" applyFill="1" applyAlignment="1">
      <alignment horizontal="left" vertical="top"/>
    </xf>
    <xf numFmtId="0" fontId="0" fillId="6" borderId="0" xfId="0" applyFill="1" applyAlignment="1">
      <alignment horizontal="left" vertical="top"/>
    </xf>
    <xf numFmtId="0" fontId="0" fillId="6" borderId="0" xfId="0" applyFill="1" applyAlignment="1">
      <alignment horizontal="left" vertical="top" wrapText="1"/>
    </xf>
    <xf numFmtId="14" fontId="0" fillId="6" borderId="0" xfId="0" applyNumberFormat="1" applyFill="1" applyAlignment="1">
      <alignment horizontal="center" vertical="top" wrapText="1"/>
    </xf>
    <xf numFmtId="0" fontId="0" fillId="0" borderId="0" xfId="0" applyAlignment="1">
      <alignment horizontal="left" vertical="top" wrapText="1"/>
    </xf>
    <xf numFmtId="14" fontId="0" fillId="0" borderId="0" xfId="0" applyNumberFormat="1" applyAlignment="1">
      <alignment horizontal="center" wrapText="1"/>
    </xf>
    <xf numFmtId="0" fontId="0" fillId="25" borderId="0" xfId="0" applyFill="1" applyAlignment="1">
      <alignment wrapText="1"/>
    </xf>
    <xf numFmtId="0" fontId="0" fillId="26" borderId="0" xfId="0" applyFill="1" applyAlignment="1">
      <alignment wrapText="1"/>
    </xf>
    <xf numFmtId="0" fontId="0" fillId="12" borderId="0" xfId="0" applyFill="1" applyAlignment="1">
      <alignment wrapText="1"/>
    </xf>
    <xf numFmtId="0" fontId="0" fillId="12" borderId="0" xfId="0" applyFill="1" applyAlignment="1">
      <alignment vertical="top" wrapText="1"/>
    </xf>
    <xf numFmtId="0" fontId="0" fillId="12" borderId="0" xfId="0" applyFill="1" applyAlignment="1">
      <alignment horizontal="left" vertical="top"/>
    </xf>
    <xf numFmtId="0" fontId="0" fillId="12" borderId="0" xfId="0" applyFill="1"/>
    <xf numFmtId="0" fontId="0" fillId="0" borderId="10" xfId="0" applyBorder="1" applyAlignment="1">
      <alignment horizontal="left" vertical="top"/>
    </xf>
    <xf numFmtId="0" fontId="0" fillId="27" borderId="0" xfId="0" applyFill="1"/>
    <xf numFmtId="0" fontId="10" fillId="28" borderId="0" xfId="0" quotePrefix="1" applyFont="1" applyFill="1"/>
    <xf numFmtId="0" fontId="0" fillId="0" borderId="0" xfId="0" quotePrefix="1"/>
    <xf numFmtId="0" fontId="3" fillId="12" borderId="31" xfId="0" applyFont="1" applyFill="1" applyBorder="1" applyAlignment="1">
      <alignment horizontal="left" vertical="top" wrapText="1" indent="1"/>
    </xf>
    <xf numFmtId="0" fontId="3" fillId="13" borderId="31" xfId="0" applyFont="1" applyFill="1" applyBorder="1" applyAlignment="1">
      <alignment horizontal="left" vertical="top" wrapText="1" indent="1"/>
    </xf>
    <xf numFmtId="0" fontId="3" fillId="5" borderId="31" xfId="0" applyFont="1" applyFill="1" applyBorder="1" applyAlignment="1">
      <alignment horizontal="left" vertical="top" wrapText="1" indent="1"/>
    </xf>
    <xf numFmtId="0" fontId="56" fillId="8" borderId="31" xfId="0" applyFont="1" applyFill="1" applyBorder="1" applyAlignment="1">
      <alignment horizontal="left" vertical="top" wrapText="1" indent="1"/>
    </xf>
    <xf numFmtId="0" fontId="3" fillId="13" borderId="36" xfId="0" applyFont="1" applyFill="1" applyBorder="1" applyAlignment="1">
      <alignment horizontal="left" vertical="top" wrapText="1" indent="1"/>
    </xf>
    <xf numFmtId="0" fontId="3" fillId="13" borderId="62" xfId="0" applyFont="1" applyFill="1" applyBorder="1" applyAlignment="1">
      <alignment horizontal="left" vertical="top" wrapText="1" indent="1"/>
    </xf>
    <xf numFmtId="0" fontId="18" fillId="13" borderId="31" xfId="0" applyFont="1" applyFill="1" applyBorder="1" applyAlignment="1">
      <alignment horizontal="left" vertical="top" wrapText="1" indent="1"/>
    </xf>
    <xf numFmtId="0" fontId="88" fillId="0" borderId="0" xfId="0" applyFont="1"/>
    <xf numFmtId="0" fontId="0" fillId="29" borderId="0" xfId="0" applyFill="1"/>
    <xf numFmtId="0" fontId="7" fillId="13" borderId="31" xfId="0" applyFont="1" applyFill="1" applyBorder="1" applyAlignment="1">
      <alignment horizontal="left" vertical="top" wrapText="1" indent="1"/>
    </xf>
    <xf numFmtId="0" fontId="11" fillId="2" borderId="0" xfId="0" applyFont="1" applyFill="1" applyAlignment="1">
      <alignment horizontal="justify"/>
    </xf>
    <xf numFmtId="0" fontId="11" fillId="2" borderId="0" xfId="0" applyFont="1" applyFill="1" applyAlignment="1">
      <alignment horizontal="right" vertical="top" wrapText="1" indent="1"/>
    </xf>
    <xf numFmtId="0" fontId="38" fillId="8" borderId="31" xfId="0" applyFont="1" applyFill="1" applyBorder="1" applyAlignment="1">
      <alignment horizontal="left" vertical="top" wrapText="1" indent="1"/>
    </xf>
    <xf numFmtId="0" fontId="11" fillId="2" borderId="0" xfId="0" applyFont="1" applyFill="1" applyAlignment="1">
      <alignment vertical="top"/>
    </xf>
    <xf numFmtId="0" fontId="11" fillId="2" borderId="0" xfId="0" applyFont="1" applyFill="1" applyAlignment="1">
      <alignment horizontal="justify" vertical="top"/>
    </xf>
    <xf numFmtId="0" fontId="89" fillId="0" borderId="0" xfId="0" applyFont="1"/>
    <xf numFmtId="0" fontId="89" fillId="0" borderId="57" xfId="0" applyFont="1" applyBorder="1" applyAlignment="1">
      <alignment horizontal="center"/>
    </xf>
    <xf numFmtId="0" fontId="89" fillId="0" borderId="57" xfId="0" applyFont="1" applyBorder="1" applyAlignment="1">
      <alignment horizontal="center" wrapText="1"/>
    </xf>
    <xf numFmtId="9" fontId="89" fillId="0" borderId="57" xfId="0" applyNumberFormat="1" applyFont="1" applyBorder="1" applyAlignment="1">
      <alignment horizontal="center"/>
    </xf>
    <xf numFmtId="9" fontId="89" fillId="0" borderId="5" xfId="0" applyNumberFormat="1" applyFont="1" applyBorder="1" applyAlignment="1">
      <alignment horizontal="center"/>
    </xf>
    <xf numFmtId="0" fontId="54" fillId="0" borderId="0" xfId="0" applyFont="1" applyAlignment="1">
      <alignment horizontal="left" vertical="center" wrapText="1"/>
    </xf>
    <xf numFmtId="0" fontId="89" fillId="0" borderId="57" xfId="0" applyFont="1" applyBorder="1" applyAlignment="1">
      <alignment horizontal="left"/>
    </xf>
    <xf numFmtId="0" fontId="89" fillId="0" borderId="57" xfId="0" applyFont="1" applyBorder="1" applyAlignment="1">
      <alignment horizontal="right"/>
    </xf>
    <xf numFmtId="0" fontId="91" fillId="2" borderId="0" xfId="0" applyFont="1" applyFill="1" applyAlignment="1">
      <alignment horizontal="left" vertical="center"/>
    </xf>
    <xf numFmtId="0" fontId="89" fillId="0" borderId="2" xfId="0" applyFont="1" applyBorder="1"/>
    <xf numFmtId="0" fontId="89" fillId="0" borderId="8" xfId="0" applyFont="1" applyBorder="1"/>
    <xf numFmtId="0" fontId="43" fillId="2" borderId="0" xfId="4" applyFont="1" applyFill="1" applyAlignment="1">
      <alignment horizontal="left" vertical="center" wrapText="1"/>
    </xf>
    <xf numFmtId="0" fontId="11" fillId="2" borderId="0" xfId="0" applyFont="1" applyFill="1" applyAlignment="1">
      <alignment horizontal="justify" vertical="top" wrapText="1"/>
    </xf>
    <xf numFmtId="0" fontId="12" fillId="2" borderId="0" xfId="0" applyFont="1" applyFill="1" applyAlignment="1">
      <alignment horizontal="left" vertical="top" wrapText="1"/>
    </xf>
    <xf numFmtId="0" fontId="11" fillId="2" borderId="0" xfId="0" applyFont="1" applyFill="1" applyAlignment="1">
      <alignment horizontal="left" vertical="top" wrapText="1"/>
    </xf>
    <xf numFmtId="0" fontId="11" fillId="15" borderId="46" xfId="0" applyFont="1" applyFill="1" applyBorder="1" applyAlignment="1">
      <alignment horizontal="left" vertical="top" wrapText="1" indent="1"/>
    </xf>
    <xf numFmtId="0" fontId="11" fillId="15" borderId="47" xfId="0" applyFont="1" applyFill="1" applyBorder="1" applyAlignment="1">
      <alignment horizontal="left" vertical="top" wrapText="1" indent="1"/>
    </xf>
    <xf numFmtId="0" fontId="11" fillId="15" borderId="48" xfId="0" applyFont="1" applyFill="1" applyBorder="1" applyAlignment="1">
      <alignment horizontal="left" vertical="top" wrapText="1" indent="1"/>
    </xf>
    <xf numFmtId="0" fontId="41" fillId="2" borderId="0" xfId="0" applyFont="1" applyFill="1" applyAlignment="1">
      <alignment horizontal="left" vertical="top" wrapText="1"/>
    </xf>
    <xf numFmtId="0" fontId="7" fillId="15" borderId="44" xfId="0" applyFont="1" applyFill="1" applyBorder="1" applyAlignment="1">
      <alignment horizontal="left" vertical="top" wrapText="1" indent="1"/>
    </xf>
    <xf numFmtId="0" fontId="7" fillId="15" borderId="45" xfId="0" applyFont="1" applyFill="1" applyBorder="1" applyAlignment="1">
      <alignment horizontal="left" vertical="top" wrapText="1" indent="1"/>
    </xf>
    <xf numFmtId="0" fontId="7" fillId="15" borderId="50" xfId="0" applyFont="1" applyFill="1" applyBorder="1" applyAlignment="1">
      <alignment horizontal="left" vertical="top" wrapText="1" indent="1"/>
    </xf>
    <xf numFmtId="0" fontId="54" fillId="0" borderId="1" xfId="0" applyFont="1" applyBorder="1" applyAlignment="1">
      <alignment horizontal="left" vertical="center" wrapText="1"/>
    </xf>
    <xf numFmtId="0" fontId="0" fillId="0" borderId="10" xfId="0" applyBorder="1" applyAlignment="1">
      <alignment horizontal="left" vertical="center" wrapText="1"/>
    </xf>
    <xf numFmtId="0" fontId="0" fillId="0" borderId="7" xfId="0" applyBorder="1" applyAlignment="1">
      <alignment horizontal="left" vertical="center" wrapText="1"/>
    </xf>
    <xf numFmtId="0" fontId="54" fillId="0" borderId="2" xfId="0" applyFont="1" applyBorder="1" applyAlignment="1">
      <alignment horizontal="left" vertical="center" wrapText="1"/>
    </xf>
    <xf numFmtId="0" fontId="0" fillId="0" borderId="0" xfId="0" applyAlignment="1">
      <alignment horizontal="left" vertical="center" wrapText="1"/>
    </xf>
    <xf numFmtId="0" fontId="0" fillId="0" borderId="8" xfId="0" applyBorder="1" applyAlignment="1">
      <alignment horizontal="left" vertical="center" wrapText="1"/>
    </xf>
    <xf numFmtId="0" fontId="90" fillId="0" borderId="3" xfId="0" applyFont="1" applyBorder="1" applyAlignment="1">
      <alignment horizontal="left" wrapText="1"/>
    </xf>
    <xf numFmtId="0" fontId="0" fillId="0" borderId="4" xfId="0" applyBorder="1" applyAlignment="1">
      <alignment wrapText="1"/>
    </xf>
    <xf numFmtId="0" fontId="0" fillId="0" borderId="9" xfId="0" applyBorder="1" applyAlignment="1">
      <alignment wrapText="1"/>
    </xf>
    <xf numFmtId="0" fontId="28" fillId="2" borderId="34" xfId="4" applyFont="1" applyFill="1" applyBorder="1" applyAlignment="1">
      <alignment horizontal="center" vertical="top"/>
    </xf>
    <xf numFmtId="0" fontId="28" fillId="2" borderId="35" xfId="4" applyFont="1" applyFill="1" applyBorder="1" applyAlignment="1">
      <alignment horizontal="center" vertical="top"/>
    </xf>
    <xf numFmtId="0" fontId="21" fillId="4" borderId="5" xfId="0" applyFont="1" applyFill="1" applyBorder="1" applyAlignment="1" applyProtection="1">
      <alignment horizontal="right" vertical="center" indent="1"/>
      <protection hidden="1"/>
    </xf>
    <xf numFmtId="0" fontId="21" fillId="4" borderId="6" xfId="0" applyFont="1" applyFill="1" applyBorder="1" applyAlignment="1" applyProtection="1">
      <alignment horizontal="right" vertical="center" indent="1"/>
      <protection hidden="1"/>
    </xf>
    <xf numFmtId="0" fontId="1" fillId="2" borderId="0" xfId="0" applyFont="1" applyFill="1" applyAlignment="1">
      <alignment horizontal="justify" vertical="top" wrapText="1"/>
    </xf>
    <xf numFmtId="0" fontId="20" fillId="2" borderId="0" xfId="0" applyFont="1" applyFill="1" applyAlignment="1">
      <alignment horizontal="center" vertical="center" wrapText="1"/>
    </xf>
    <xf numFmtId="0" fontId="19" fillId="2" borderId="0" xfId="0" applyFont="1" applyFill="1" applyAlignment="1">
      <alignment horizontal="center" vertical="center" wrapText="1"/>
    </xf>
    <xf numFmtId="0" fontId="24" fillId="2" borderId="0" xfId="0" applyFont="1" applyFill="1" applyAlignment="1">
      <alignment horizontal="center" vertical="center" wrapText="1"/>
    </xf>
    <xf numFmtId="0" fontId="24" fillId="10" borderId="24" xfId="0" applyFont="1" applyFill="1" applyBorder="1" applyAlignment="1">
      <alignment horizontal="right" vertical="top" wrapText="1" indent="1"/>
    </xf>
    <xf numFmtId="0" fontId="24" fillId="10" borderId="27" xfId="0" applyFont="1" applyFill="1" applyBorder="1" applyAlignment="1">
      <alignment horizontal="right" vertical="top" wrapText="1" indent="1"/>
    </xf>
    <xf numFmtId="0" fontId="11" fillId="2" borderId="18" xfId="0" applyFont="1" applyFill="1" applyBorder="1" applyAlignment="1">
      <alignment horizontal="justify" vertical="top" wrapText="1"/>
    </xf>
    <xf numFmtId="0" fontId="11" fillId="2" borderId="16" xfId="0" applyFont="1" applyFill="1" applyBorder="1" applyAlignment="1">
      <alignment horizontal="justify" vertical="top" wrapText="1"/>
    </xf>
    <xf numFmtId="0" fontId="11" fillId="2" borderId="19" xfId="0" applyFont="1" applyFill="1" applyBorder="1" applyAlignment="1">
      <alignment horizontal="justify" vertical="top" wrapText="1"/>
    </xf>
    <xf numFmtId="0" fontId="11" fillId="2" borderId="32" xfId="0" applyFont="1" applyFill="1" applyBorder="1" applyAlignment="1">
      <alignment horizontal="justify" vertical="top" wrapText="1"/>
    </xf>
    <xf numFmtId="0" fontId="11" fillId="2" borderId="20" xfId="0" applyFont="1" applyFill="1" applyBorder="1" applyAlignment="1">
      <alignment horizontal="justify" vertical="top" wrapText="1"/>
    </xf>
    <xf numFmtId="0" fontId="11" fillId="2" borderId="22" xfId="0" applyFont="1" applyFill="1" applyBorder="1" applyAlignment="1">
      <alignment horizontal="justify" vertical="top" wrapText="1"/>
    </xf>
    <xf numFmtId="0" fontId="11" fillId="2" borderId="33" xfId="0" applyFont="1" applyFill="1" applyBorder="1" applyAlignment="1">
      <alignment horizontal="justify" vertical="top" wrapText="1"/>
    </xf>
    <xf numFmtId="0" fontId="11" fillId="2" borderId="21" xfId="0" applyFont="1" applyFill="1" applyBorder="1" applyAlignment="1">
      <alignment horizontal="justify" vertical="top" wrapText="1"/>
    </xf>
    <xf numFmtId="0" fontId="11" fillId="2" borderId="23" xfId="0" applyFont="1" applyFill="1" applyBorder="1" applyAlignment="1">
      <alignment horizontal="justify" vertical="top" wrapText="1"/>
    </xf>
    <xf numFmtId="0" fontId="7" fillId="13" borderId="36" xfId="0" applyFont="1" applyFill="1" applyBorder="1" applyAlignment="1">
      <alignment horizontal="left" vertical="top" wrapText="1" indent="1"/>
    </xf>
    <xf numFmtId="0" fontId="7" fillId="13" borderId="37" xfId="0" applyFont="1" applyFill="1" applyBorder="1" applyAlignment="1">
      <alignment horizontal="left" vertical="top" wrapText="1" indent="1"/>
    </xf>
    <xf numFmtId="0" fontId="7" fillId="9" borderId="24" xfId="0" applyFont="1" applyFill="1" applyBorder="1" applyAlignment="1">
      <alignment horizontal="right" vertical="top" wrapText="1" indent="1"/>
    </xf>
    <xf numFmtId="0" fontId="7" fillId="9" borderId="27" xfId="0" applyFont="1" applyFill="1" applyBorder="1" applyAlignment="1">
      <alignment horizontal="right" vertical="top" wrapText="1" indent="1"/>
    </xf>
    <xf numFmtId="0" fontId="7" fillId="9" borderId="25" xfId="0" applyFont="1" applyFill="1" applyBorder="1" applyAlignment="1">
      <alignment horizontal="right" vertical="top" wrapText="1" indent="1"/>
    </xf>
    <xf numFmtId="0" fontId="7" fillId="9" borderId="28" xfId="0" applyFont="1" applyFill="1" applyBorder="1" applyAlignment="1">
      <alignment horizontal="right" vertical="top" wrapText="1" indent="1"/>
    </xf>
    <xf numFmtId="0" fontId="7" fillId="9" borderId="26" xfId="0" applyFont="1" applyFill="1" applyBorder="1" applyAlignment="1">
      <alignment horizontal="right" vertical="top" wrapText="1" indent="1"/>
    </xf>
    <xf numFmtId="0" fontId="7" fillId="9" borderId="30" xfId="0" applyFont="1" applyFill="1" applyBorder="1" applyAlignment="1">
      <alignment horizontal="right" vertical="top" wrapText="1" indent="1"/>
    </xf>
    <xf numFmtId="0" fontId="21" fillId="4" borderId="11" xfId="0" applyFont="1" applyFill="1" applyBorder="1" applyAlignment="1" applyProtection="1">
      <alignment horizontal="right" vertical="center" indent="1"/>
      <protection hidden="1"/>
    </xf>
    <xf numFmtId="0" fontId="25" fillId="15" borderId="12" xfId="0" applyFont="1" applyFill="1" applyBorder="1" applyAlignment="1" applyProtection="1">
      <alignment horizontal="left" vertical="center" indent="1"/>
      <protection hidden="1"/>
    </xf>
    <xf numFmtId="0" fontId="25" fillId="15" borderId="13" xfId="0" applyFont="1" applyFill="1" applyBorder="1" applyAlignment="1" applyProtection="1">
      <alignment horizontal="left" vertical="center" indent="1"/>
      <protection hidden="1"/>
    </xf>
    <xf numFmtId="0" fontId="25" fillId="15" borderId="14" xfId="0" applyFont="1" applyFill="1" applyBorder="1" applyAlignment="1" applyProtection="1">
      <alignment horizontal="left" vertical="center" indent="1"/>
      <protection hidden="1"/>
    </xf>
    <xf numFmtId="0" fontId="19" fillId="6" borderId="5" xfId="0" applyFont="1" applyFill="1" applyBorder="1" applyAlignment="1" applyProtection="1">
      <alignment horizontal="right" vertical="center" indent="1"/>
      <protection hidden="1"/>
    </xf>
    <xf numFmtId="0" fontId="19" fillId="6" borderId="11" xfId="0" applyFont="1" applyFill="1" applyBorder="1" applyAlignment="1" applyProtection="1">
      <alignment horizontal="right" vertical="center" indent="1"/>
      <protection hidden="1"/>
    </xf>
    <xf numFmtId="0" fontId="19" fillId="6" borderId="6" xfId="0" applyFont="1" applyFill="1" applyBorder="1" applyAlignment="1" applyProtection="1">
      <alignment horizontal="right" vertical="center" indent="1"/>
      <protection hidden="1"/>
    </xf>
    <xf numFmtId="0" fontId="19" fillId="6" borderId="40" xfId="0" applyFont="1" applyFill="1" applyBorder="1" applyAlignment="1" applyProtection="1">
      <alignment horizontal="left" vertical="center" indent="1"/>
      <protection locked="0" hidden="1"/>
    </xf>
    <xf numFmtId="0" fontId="19" fillId="6" borderId="41" xfId="0" applyFont="1" applyFill="1" applyBorder="1" applyAlignment="1" applyProtection="1">
      <alignment horizontal="left" vertical="center" indent="1"/>
      <protection locked="0" hidden="1"/>
    </xf>
    <xf numFmtId="0" fontId="19" fillId="6" borderId="42" xfId="0" applyFont="1" applyFill="1" applyBorder="1" applyAlignment="1" applyProtection="1">
      <alignment horizontal="left" vertical="center" indent="1"/>
      <protection locked="0" hidden="1"/>
    </xf>
    <xf numFmtId="14" fontId="20" fillId="2" borderId="0" xfId="0" applyNumberFormat="1" applyFont="1" applyFill="1" applyAlignment="1">
      <alignment horizontal="center" vertical="center" wrapText="1"/>
    </xf>
    <xf numFmtId="0" fontId="7" fillId="9" borderId="0" xfId="0" applyFont="1" applyFill="1" applyAlignment="1">
      <alignment horizontal="right" vertical="top" wrapText="1" indent="1"/>
    </xf>
    <xf numFmtId="0" fontId="7" fillId="9" borderId="29" xfId="0" applyFont="1" applyFill="1" applyBorder="1" applyAlignment="1">
      <alignment horizontal="right" vertical="top" wrapText="1" indent="1"/>
    </xf>
    <xf numFmtId="0" fontId="27" fillId="2" borderId="34" xfId="0" applyFont="1" applyFill="1" applyBorder="1" applyAlignment="1">
      <alignment horizontal="center" vertical="top"/>
    </xf>
    <xf numFmtId="0" fontId="27" fillId="2" borderId="35" xfId="0" applyFont="1" applyFill="1" applyBorder="1" applyAlignment="1">
      <alignment horizontal="center" vertical="top"/>
    </xf>
    <xf numFmtId="0" fontId="28" fillId="2" borderId="38" xfId="4" applyFont="1" applyFill="1" applyBorder="1" applyAlignment="1">
      <alignment horizontal="center" vertical="top"/>
    </xf>
    <xf numFmtId="0" fontId="7" fillId="11" borderId="24" xfId="0" applyFont="1" applyFill="1" applyBorder="1" applyAlignment="1">
      <alignment horizontal="right" vertical="top" wrapText="1" indent="1"/>
    </xf>
    <xf numFmtId="0" fontId="7" fillId="11" borderId="27" xfId="0" applyFont="1" applyFill="1" applyBorder="1" applyAlignment="1">
      <alignment horizontal="right" vertical="top" wrapText="1" indent="1"/>
    </xf>
    <xf numFmtId="0" fontId="19" fillId="4" borderId="5" xfId="0" applyFont="1" applyFill="1" applyBorder="1" applyAlignment="1" applyProtection="1">
      <alignment horizontal="right" vertical="center" indent="1"/>
      <protection hidden="1"/>
    </xf>
    <xf numFmtId="0" fontId="19" fillId="4" borderId="11" xfId="0" applyFont="1" applyFill="1" applyBorder="1" applyAlignment="1" applyProtection="1">
      <alignment horizontal="right" vertical="center" indent="1"/>
      <protection hidden="1"/>
    </xf>
    <xf numFmtId="0" fontId="19" fillId="4" borderId="6" xfId="0" applyFont="1" applyFill="1" applyBorder="1" applyAlignment="1" applyProtection="1">
      <alignment horizontal="right" vertical="center" indent="1"/>
      <protection hidden="1"/>
    </xf>
    <xf numFmtId="0" fontId="38" fillId="5" borderId="36" xfId="0" applyFont="1" applyFill="1" applyBorder="1" applyAlignment="1">
      <alignment horizontal="left" vertical="top" wrapText="1" indent="1"/>
    </xf>
    <xf numFmtId="0" fontId="38" fillId="5" borderId="37" xfId="0" applyFont="1" applyFill="1" applyBorder="1" applyAlignment="1">
      <alignment horizontal="left" vertical="top" wrapText="1" indent="1"/>
    </xf>
    <xf numFmtId="0" fontId="54" fillId="0" borderId="32" xfId="0" applyFont="1" applyBorder="1" applyAlignment="1">
      <alignment horizontal="justify" vertical="top" wrapText="1"/>
    </xf>
    <xf numFmtId="0" fontId="54" fillId="0" borderId="20" xfId="0" applyFont="1" applyBorder="1" applyAlignment="1">
      <alignment horizontal="justify" vertical="top" wrapText="1"/>
    </xf>
    <xf numFmtId="0" fontId="54" fillId="0" borderId="22" xfId="0" applyFont="1" applyBorder="1" applyAlignment="1">
      <alignment horizontal="justify" vertical="top" wrapText="1"/>
    </xf>
    <xf numFmtId="0" fontId="54" fillId="0" borderId="33" xfId="0" applyFont="1" applyBorder="1" applyAlignment="1">
      <alignment horizontal="justify" vertical="top" wrapText="1"/>
    </xf>
    <xf numFmtId="0" fontId="54" fillId="0" borderId="21" xfId="0" applyFont="1" applyBorder="1" applyAlignment="1">
      <alignment horizontal="justify" vertical="top" wrapText="1"/>
    </xf>
    <xf numFmtId="0" fontId="54" fillId="0" borderId="23" xfId="0" applyFont="1" applyBorder="1" applyAlignment="1">
      <alignment horizontal="justify" vertical="top" wrapText="1"/>
    </xf>
    <xf numFmtId="0" fontId="7" fillId="5" borderId="36" xfId="0" applyFont="1" applyFill="1" applyBorder="1" applyAlignment="1">
      <alignment horizontal="left" vertical="top" wrapText="1" indent="1"/>
    </xf>
    <xf numFmtId="0" fontId="7" fillId="5" borderId="37" xfId="0" applyFont="1" applyFill="1" applyBorder="1" applyAlignment="1">
      <alignment horizontal="left" vertical="top" wrapText="1" indent="1"/>
    </xf>
    <xf numFmtId="0" fontId="12" fillId="2" borderId="32" xfId="0" applyFont="1" applyFill="1" applyBorder="1" applyAlignment="1">
      <alignment horizontal="justify" vertical="top" wrapText="1"/>
    </xf>
    <xf numFmtId="0" fontId="7" fillId="11" borderId="25" xfId="0" applyFont="1" applyFill="1" applyBorder="1" applyAlignment="1">
      <alignment horizontal="right" vertical="top" wrapText="1" indent="1"/>
    </xf>
    <xf numFmtId="0" fontId="7" fillId="11" borderId="28" xfId="0" applyFont="1" applyFill="1" applyBorder="1" applyAlignment="1">
      <alignment horizontal="right" vertical="top" wrapText="1" indent="1"/>
    </xf>
    <xf numFmtId="0" fontId="7" fillId="11" borderId="26" xfId="0" applyFont="1" applyFill="1" applyBorder="1" applyAlignment="1">
      <alignment horizontal="right" vertical="top" wrapText="1" indent="1"/>
    </xf>
    <xf numFmtId="0" fontId="7" fillId="11" borderId="30" xfId="0" applyFont="1" applyFill="1" applyBorder="1" applyAlignment="1">
      <alignment horizontal="right" vertical="top" wrapText="1" indent="1"/>
    </xf>
    <xf numFmtId="0" fontId="16" fillId="2" borderId="18" xfId="0" applyFont="1" applyFill="1" applyBorder="1" applyAlignment="1">
      <alignment horizontal="left" vertical="top" wrapText="1" indent="1"/>
    </xf>
    <xf numFmtId="0" fontId="16" fillId="2" borderId="16" xfId="0" applyFont="1" applyFill="1" applyBorder="1" applyAlignment="1">
      <alignment horizontal="left" vertical="top" wrapText="1" indent="1"/>
    </xf>
    <xf numFmtId="0" fontId="16" fillId="2" borderId="19" xfId="0" applyFont="1" applyFill="1" applyBorder="1" applyAlignment="1">
      <alignment horizontal="left" vertical="top" wrapText="1" indent="1"/>
    </xf>
    <xf numFmtId="0" fontId="67" fillId="11" borderId="25" xfId="0" applyFont="1" applyFill="1" applyBorder="1" applyAlignment="1">
      <alignment horizontal="right" vertical="top" wrapText="1" indent="1"/>
    </xf>
    <xf numFmtId="0" fontId="0" fillId="0" borderId="25" xfId="0" applyBorder="1" applyAlignment="1">
      <alignment horizontal="right" vertical="top" wrapText="1" indent="1"/>
    </xf>
    <xf numFmtId="0" fontId="0" fillId="0" borderId="28" xfId="0" applyBorder="1" applyAlignment="1">
      <alignment horizontal="right" vertical="top" wrapText="1" indent="1"/>
    </xf>
    <xf numFmtId="0" fontId="0" fillId="0" borderId="26" xfId="0" applyBorder="1" applyAlignment="1">
      <alignment horizontal="right" vertical="top" wrapText="1" indent="1"/>
    </xf>
    <xf numFmtId="0" fontId="0" fillId="0" borderId="30" xfId="0" applyBorder="1" applyAlignment="1">
      <alignment horizontal="right" vertical="top" wrapText="1" indent="1"/>
    </xf>
    <xf numFmtId="0" fontId="11" fillId="0" borderId="18" xfId="0" applyFont="1" applyBorder="1" applyAlignment="1">
      <alignment horizontal="justify" vertical="top" wrapText="1"/>
    </xf>
    <xf numFmtId="0" fontId="0" fillId="0" borderId="16" xfId="0" applyBorder="1" applyAlignment="1">
      <alignment horizontal="justify" vertical="top" wrapText="1"/>
    </xf>
    <xf numFmtId="0" fontId="0" fillId="0" borderId="19" xfId="0" applyBorder="1" applyAlignment="1">
      <alignment horizontal="justify" vertical="top" wrapText="1"/>
    </xf>
    <xf numFmtId="0" fontId="11" fillId="2" borderId="18" xfId="0" quotePrefix="1" applyFont="1" applyFill="1" applyBorder="1" applyAlignment="1">
      <alignment horizontal="justify" vertical="top" wrapText="1"/>
    </xf>
    <xf numFmtId="0" fontId="71" fillId="2" borderId="0" xfId="0" applyFont="1" applyFill="1" applyAlignment="1">
      <alignment horizontal="left" vertical="top" wrapText="1"/>
    </xf>
    <xf numFmtId="0" fontId="16" fillId="2" borderId="0" xfId="0" applyFont="1" applyFill="1" applyAlignment="1">
      <alignment horizontal="left" vertical="top" wrapText="1"/>
    </xf>
    <xf numFmtId="0" fontId="24" fillId="11" borderId="24" xfId="0" applyFont="1" applyFill="1" applyBorder="1" applyAlignment="1">
      <alignment horizontal="right" vertical="top" wrapText="1" indent="1"/>
    </xf>
    <xf numFmtId="0" fontId="24" fillId="11" borderId="27" xfId="0" applyFont="1" applyFill="1" applyBorder="1" applyAlignment="1">
      <alignment horizontal="right" vertical="top" wrapText="1" indent="1"/>
    </xf>
    <xf numFmtId="0" fontId="24" fillId="2" borderId="24" xfId="0" applyFont="1" applyFill="1" applyBorder="1" applyAlignment="1">
      <alignment horizontal="right" vertical="center" wrapText="1" indent="1"/>
    </xf>
    <xf numFmtId="0" fontId="24" fillId="2" borderId="27" xfId="0" applyFont="1" applyFill="1" applyBorder="1" applyAlignment="1">
      <alignment horizontal="right" vertical="center" wrapText="1" indent="1"/>
    </xf>
    <xf numFmtId="0" fontId="1" fillId="2" borderId="32" xfId="0" applyFont="1" applyFill="1" applyBorder="1" applyAlignment="1">
      <alignment horizontal="center" vertical="top" wrapText="1"/>
    </xf>
    <xf numFmtId="0" fontId="1" fillId="2" borderId="20" xfId="0" applyFont="1" applyFill="1" applyBorder="1" applyAlignment="1">
      <alignment horizontal="center" vertical="top" wrapText="1"/>
    </xf>
    <xf numFmtId="0" fontId="1" fillId="2" borderId="22" xfId="0" applyFont="1" applyFill="1" applyBorder="1" applyAlignment="1">
      <alignment horizontal="center" vertical="top" wrapText="1"/>
    </xf>
    <xf numFmtId="0" fontId="1" fillId="2" borderId="33" xfId="0" applyFont="1" applyFill="1" applyBorder="1" applyAlignment="1">
      <alignment horizontal="center" vertical="top" wrapText="1"/>
    </xf>
    <xf numFmtId="0" fontId="1" fillId="2" borderId="21" xfId="0" applyFont="1" applyFill="1" applyBorder="1" applyAlignment="1">
      <alignment horizontal="center" vertical="top" wrapText="1"/>
    </xf>
    <xf numFmtId="0" fontId="1" fillId="2" borderId="23" xfId="0" applyFont="1" applyFill="1" applyBorder="1" applyAlignment="1">
      <alignment horizontal="center" vertical="top" wrapText="1"/>
    </xf>
    <xf numFmtId="0" fontId="1" fillId="2" borderId="32" xfId="0" applyFont="1" applyFill="1" applyBorder="1" applyAlignment="1">
      <alignment horizontal="center" vertical="top"/>
    </xf>
    <xf numFmtId="0" fontId="1" fillId="2" borderId="20" xfId="0" applyFont="1" applyFill="1" applyBorder="1" applyAlignment="1">
      <alignment horizontal="center" vertical="top"/>
    </xf>
    <xf numFmtId="0" fontId="1" fillId="2" borderId="22" xfId="0" applyFont="1" applyFill="1" applyBorder="1" applyAlignment="1">
      <alignment horizontal="center" vertical="top"/>
    </xf>
    <xf numFmtId="0" fontId="1" fillId="2" borderId="33" xfId="0" applyFont="1" applyFill="1" applyBorder="1" applyAlignment="1">
      <alignment horizontal="center" vertical="top"/>
    </xf>
    <xf numFmtId="0" fontId="1" fillId="2" borderId="21" xfId="0" applyFont="1" applyFill="1" applyBorder="1" applyAlignment="1">
      <alignment horizontal="center" vertical="top"/>
    </xf>
    <xf numFmtId="0" fontId="1" fillId="2" borderId="23" xfId="0" applyFont="1" applyFill="1" applyBorder="1" applyAlignment="1">
      <alignment horizontal="center" vertical="top"/>
    </xf>
    <xf numFmtId="0" fontId="7" fillId="2" borderId="0" xfId="0" applyFont="1" applyFill="1" applyAlignment="1">
      <alignment horizontal="center" vertical="center" wrapText="1"/>
    </xf>
    <xf numFmtId="0" fontId="46" fillId="14" borderId="24" xfId="0" applyFont="1" applyFill="1" applyBorder="1" applyAlignment="1">
      <alignment horizontal="right" vertical="top" wrapText="1" indent="1"/>
    </xf>
    <xf numFmtId="0" fontId="46" fillId="14" borderId="27" xfId="0" applyFont="1" applyFill="1" applyBorder="1" applyAlignment="1">
      <alignment horizontal="right" vertical="top" wrapText="1" indent="1"/>
    </xf>
    <xf numFmtId="0" fontId="25" fillId="15" borderId="12" xfId="0" applyFont="1" applyFill="1" applyBorder="1" applyAlignment="1" applyProtection="1">
      <alignment horizontal="left" vertical="center" indent="1"/>
      <protection locked="0" hidden="1"/>
    </xf>
    <xf numFmtId="0" fontId="25" fillId="15" borderId="13" xfId="0" applyFont="1" applyFill="1" applyBorder="1" applyAlignment="1" applyProtection="1">
      <alignment horizontal="left" vertical="center" indent="1"/>
      <protection locked="0" hidden="1"/>
    </xf>
    <xf numFmtId="0" fontId="25" fillId="15" borderId="14" xfId="0" applyFont="1" applyFill="1" applyBorder="1" applyAlignment="1" applyProtection="1">
      <alignment horizontal="left" vertical="center" indent="1"/>
      <protection locked="0" hidden="1"/>
    </xf>
    <xf numFmtId="0" fontId="7" fillId="11" borderId="0" xfId="0" applyFont="1" applyFill="1" applyAlignment="1">
      <alignment horizontal="right" vertical="top" wrapText="1" indent="1"/>
    </xf>
    <xf numFmtId="0" fontId="7" fillId="11" borderId="29" xfId="0" applyFont="1" applyFill="1" applyBorder="1" applyAlignment="1">
      <alignment horizontal="right" vertical="top" wrapText="1" indent="1"/>
    </xf>
    <xf numFmtId="0" fontId="7" fillId="7" borderId="24" xfId="0" applyFont="1" applyFill="1" applyBorder="1" applyAlignment="1">
      <alignment horizontal="right" vertical="top" wrapText="1" indent="1"/>
    </xf>
    <xf numFmtId="0" fontId="7" fillId="7" borderId="27" xfId="0" applyFont="1" applyFill="1" applyBorder="1" applyAlignment="1">
      <alignment horizontal="right" vertical="top" wrapText="1" indent="1"/>
    </xf>
    <xf numFmtId="0" fontId="24" fillId="7" borderId="24" xfId="0" applyFont="1" applyFill="1" applyBorder="1" applyAlignment="1">
      <alignment horizontal="right" vertical="top" wrapText="1" indent="1"/>
    </xf>
    <xf numFmtId="0" fontId="24" fillId="7" borderId="27" xfId="0" applyFont="1" applyFill="1" applyBorder="1" applyAlignment="1">
      <alignment horizontal="right" vertical="top" wrapText="1" indent="1"/>
    </xf>
    <xf numFmtId="0" fontId="27" fillId="2" borderId="0" xfId="0" applyFont="1" applyFill="1" applyAlignment="1">
      <alignment horizontal="right" indent="1"/>
    </xf>
    <xf numFmtId="0" fontId="5" fillId="2" borderId="0" xfId="0" applyFont="1" applyFill="1" applyAlignment="1">
      <alignment horizontal="left" vertical="top" wrapText="1"/>
    </xf>
    <xf numFmtId="4" fontId="1" fillId="16" borderId="13" xfId="0" applyNumberFormat="1" applyFont="1" applyFill="1" applyBorder="1" applyAlignment="1">
      <alignment horizontal="center" vertical="top" wrapText="1"/>
    </xf>
    <xf numFmtId="0" fontId="24" fillId="9" borderId="12" xfId="0" applyFont="1" applyFill="1" applyBorder="1" applyAlignment="1">
      <alignment horizontal="center" vertical="top" wrapText="1"/>
    </xf>
    <xf numFmtId="0" fontId="24" fillId="9" borderId="13" xfId="0" applyFont="1" applyFill="1" applyBorder="1" applyAlignment="1">
      <alignment horizontal="center" vertical="top" wrapText="1"/>
    </xf>
    <xf numFmtId="0" fontId="24" fillId="9" borderId="14" xfId="0" applyFont="1" applyFill="1" applyBorder="1" applyAlignment="1">
      <alignment horizontal="center" vertical="top" wrapText="1"/>
    </xf>
    <xf numFmtId="0" fontId="16" fillId="2" borderId="12" xfId="0" applyFont="1" applyFill="1" applyBorder="1" applyAlignment="1">
      <alignment horizontal="left" vertical="top" wrapText="1" indent="1"/>
    </xf>
    <xf numFmtId="0" fontId="16" fillId="2" borderId="13" xfId="0" applyFont="1" applyFill="1" applyBorder="1" applyAlignment="1">
      <alignment horizontal="left" vertical="top" wrapText="1" indent="1"/>
    </xf>
    <xf numFmtId="0" fontId="16" fillId="2" borderId="14" xfId="0" applyFont="1" applyFill="1" applyBorder="1" applyAlignment="1">
      <alignment horizontal="left" vertical="top" wrapText="1" indent="1"/>
    </xf>
    <xf numFmtId="4" fontId="1" fillId="16" borderId="63" xfId="0" applyNumberFormat="1" applyFont="1" applyFill="1" applyBorder="1" applyAlignment="1">
      <alignment horizontal="center" vertical="top" wrapText="1"/>
    </xf>
    <xf numFmtId="0" fontId="24" fillId="9" borderId="64" xfId="0" applyFont="1" applyFill="1" applyBorder="1" applyAlignment="1">
      <alignment horizontal="center" vertical="top" wrapText="1"/>
    </xf>
    <xf numFmtId="0" fontId="24" fillId="9" borderId="63" xfId="0" applyFont="1" applyFill="1" applyBorder="1" applyAlignment="1">
      <alignment horizontal="center" vertical="top" wrapText="1"/>
    </xf>
    <xf numFmtId="0" fontId="24" fillId="9" borderId="65" xfId="0" applyFont="1" applyFill="1" applyBorder="1" applyAlignment="1">
      <alignment horizontal="center" vertical="top" wrapText="1"/>
    </xf>
    <xf numFmtId="4" fontId="1" fillId="2" borderId="13" xfId="0" applyNumberFormat="1" applyFont="1" applyFill="1" applyBorder="1" applyAlignment="1">
      <alignment horizontal="center" vertical="top" wrapText="1"/>
    </xf>
    <xf numFmtId="0" fontId="24" fillId="9" borderId="12" xfId="0" applyFont="1" applyFill="1" applyBorder="1" applyAlignment="1">
      <alignment horizontal="right" vertical="top" wrapText="1" indent="1"/>
    </xf>
    <xf numFmtId="0" fontId="24" fillId="9" borderId="13" xfId="0" applyFont="1" applyFill="1" applyBorder="1" applyAlignment="1">
      <alignment horizontal="right" vertical="top" wrapText="1" indent="1"/>
    </xf>
    <xf numFmtId="0" fontId="24" fillId="9" borderId="14" xfId="0" applyFont="1" applyFill="1" applyBorder="1" applyAlignment="1">
      <alignment horizontal="right" vertical="top" wrapText="1" indent="1"/>
    </xf>
    <xf numFmtId="4" fontId="1" fillId="2" borderId="47" xfId="0" applyNumberFormat="1" applyFont="1" applyFill="1" applyBorder="1" applyAlignment="1">
      <alignment horizontal="center" vertical="top" wrapText="1"/>
    </xf>
    <xf numFmtId="4" fontId="1" fillId="2" borderId="0" xfId="0" applyNumberFormat="1" applyFont="1" applyFill="1" applyAlignment="1">
      <alignment horizontal="center" vertical="top" wrapText="1"/>
    </xf>
    <xf numFmtId="4" fontId="1" fillId="2" borderId="56" xfId="0" applyNumberFormat="1" applyFont="1" applyFill="1" applyBorder="1" applyAlignment="1">
      <alignment horizontal="center" vertical="top" wrapText="1"/>
    </xf>
    <xf numFmtId="0" fontId="24" fillId="9" borderId="52" xfId="0" applyFont="1" applyFill="1" applyBorder="1" applyAlignment="1">
      <alignment horizontal="center" vertical="top" wrapText="1"/>
    </xf>
    <xf numFmtId="0" fontId="24" fillId="9" borderId="53" xfId="0" applyFont="1" applyFill="1" applyBorder="1" applyAlignment="1">
      <alignment horizontal="center" vertical="top" wrapText="1"/>
    </xf>
    <xf numFmtId="0" fontId="24" fillId="9" borderId="59" xfId="0" applyFont="1" applyFill="1" applyBorder="1" applyAlignment="1">
      <alignment horizontal="center" vertical="top" wrapText="1"/>
    </xf>
    <xf numFmtId="0" fontId="24" fillId="9" borderId="54" xfId="0" applyFont="1" applyFill="1" applyBorder="1" applyAlignment="1">
      <alignment horizontal="center" vertical="top" wrapText="1"/>
    </xf>
    <xf numFmtId="0" fontId="24" fillId="9" borderId="0" xfId="0" applyFont="1" applyFill="1" applyAlignment="1">
      <alignment horizontal="center" vertical="top" wrapText="1"/>
    </xf>
    <xf numFmtId="0" fontId="24" fillId="9" borderId="60" xfId="0" applyFont="1" applyFill="1" applyBorder="1" applyAlignment="1">
      <alignment horizontal="center" vertical="top" wrapText="1"/>
    </xf>
    <xf numFmtId="0" fontId="24" fillId="9" borderId="55" xfId="0" applyFont="1" applyFill="1" applyBorder="1" applyAlignment="1">
      <alignment horizontal="center" vertical="top" wrapText="1"/>
    </xf>
    <xf numFmtId="0" fontId="24" fillId="9" borderId="56" xfId="0" applyFont="1" applyFill="1" applyBorder="1" applyAlignment="1">
      <alignment horizontal="center" vertical="top" wrapText="1"/>
    </xf>
    <xf numFmtId="0" fontId="24" fillId="9" borderId="61" xfId="0" applyFont="1" applyFill="1" applyBorder="1" applyAlignment="1">
      <alignment horizontal="center" vertical="top" wrapText="1"/>
    </xf>
    <xf numFmtId="0" fontId="24" fillId="20" borderId="0" xfId="0" applyFont="1" applyFill="1" applyAlignment="1">
      <alignment horizontal="center" vertical="center" wrapText="1"/>
    </xf>
    <xf numFmtId="0" fontId="24" fillId="16" borderId="13" xfId="0" applyFont="1" applyFill="1" applyBorder="1" applyAlignment="1">
      <alignment horizontal="center" vertical="center" wrapText="1"/>
    </xf>
    <xf numFmtId="0" fontId="24" fillId="11" borderId="12" xfId="0" applyFont="1" applyFill="1" applyBorder="1" applyAlignment="1">
      <alignment horizontal="center" vertical="top" wrapText="1"/>
    </xf>
    <xf numFmtId="0" fontId="24" fillId="11" borderId="13" xfId="0" applyFont="1" applyFill="1" applyBorder="1" applyAlignment="1">
      <alignment horizontal="center" vertical="top" wrapText="1"/>
    </xf>
    <xf numFmtId="0" fontId="24" fillId="11" borderId="14" xfId="0" applyFont="1" applyFill="1" applyBorder="1" applyAlignment="1">
      <alignment horizontal="center" vertical="top" wrapText="1"/>
    </xf>
    <xf numFmtId="0" fontId="24" fillId="7" borderId="12" xfId="0" applyFont="1" applyFill="1" applyBorder="1" applyAlignment="1">
      <alignment horizontal="center" vertical="top" wrapText="1"/>
    </xf>
    <xf numFmtId="0" fontId="24" fillId="7" borderId="13" xfId="0" applyFont="1" applyFill="1" applyBorder="1" applyAlignment="1">
      <alignment horizontal="center" vertical="top" wrapText="1"/>
    </xf>
    <xf numFmtId="0" fontId="24" fillId="7" borderId="14" xfId="0" applyFont="1" applyFill="1" applyBorder="1" applyAlignment="1">
      <alignment horizontal="center" vertical="top" wrapText="1"/>
    </xf>
    <xf numFmtId="0" fontId="19" fillId="2" borderId="12" xfId="0" applyFont="1" applyFill="1" applyBorder="1" applyAlignment="1" applyProtection="1">
      <alignment horizontal="center" vertical="center"/>
      <protection hidden="1"/>
    </xf>
    <xf numFmtId="0" fontId="19" fillId="2" borderId="13" xfId="0" applyFont="1" applyFill="1" applyBorder="1" applyAlignment="1" applyProtection="1">
      <alignment horizontal="center" vertical="center"/>
      <protection hidden="1"/>
    </xf>
    <xf numFmtId="0" fontId="19" fillId="2" borderId="14" xfId="0" applyFont="1" applyFill="1" applyBorder="1" applyAlignment="1" applyProtection="1">
      <alignment horizontal="center" vertical="center"/>
      <protection hidden="1"/>
    </xf>
    <xf numFmtId="0" fontId="24" fillId="18" borderId="16" xfId="0" applyFont="1" applyFill="1" applyBorder="1" applyAlignment="1">
      <alignment horizontal="center" vertical="center" wrapText="1"/>
    </xf>
    <xf numFmtId="0" fontId="24" fillId="10" borderId="12" xfId="0" applyFont="1" applyFill="1" applyBorder="1" applyAlignment="1">
      <alignment horizontal="center" vertical="top" wrapText="1"/>
    </xf>
    <xf numFmtId="0" fontId="24" fillId="10" borderId="13" xfId="0" applyFont="1" applyFill="1" applyBorder="1" applyAlignment="1">
      <alignment horizontal="center" vertical="top" wrapText="1"/>
    </xf>
    <xf numFmtId="0" fontId="24" fillId="10" borderId="14" xfId="0" applyFont="1" applyFill="1" applyBorder="1" applyAlignment="1">
      <alignment horizontal="center" vertical="top" wrapText="1"/>
    </xf>
    <xf numFmtId="0" fontId="19" fillId="4" borderId="18" xfId="0" applyFont="1" applyFill="1" applyBorder="1" applyAlignment="1" applyProtection="1">
      <alignment horizontal="right" vertical="center" indent="1"/>
      <protection hidden="1"/>
    </xf>
    <xf numFmtId="0" fontId="19" fillId="4" borderId="16" xfId="0" applyFont="1" applyFill="1" applyBorder="1" applyAlignment="1" applyProtection="1">
      <alignment horizontal="right" vertical="center" indent="1"/>
      <protection hidden="1"/>
    </xf>
    <xf numFmtId="0" fontId="19" fillId="4" borderId="19" xfId="0" applyFont="1" applyFill="1" applyBorder="1" applyAlignment="1" applyProtection="1">
      <alignment horizontal="right" vertical="center" indent="1"/>
      <protection hidden="1"/>
    </xf>
    <xf numFmtId="0" fontId="24" fillId="4" borderId="5" xfId="0" applyFont="1" applyFill="1" applyBorder="1" applyAlignment="1" applyProtection="1">
      <alignment horizontal="right" vertical="center" indent="1"/>
      <protection hidden="1"/>
    </xf>
    <xf numFmtId="0" fontId="24" fillId="4" borderId="6" xfId="0" applyFont="1" applyFill="1" applyBorder="1" applyAlignment="1" applyProtection="1">
      <alignment horizontal="right" vertical="center" indent="1"/>
      <protection hidden="1"/>
    </xf>
    <xf numFmtId="0" fontId="24" fillId="2" borderId="12" xfId="0" applyFont="1" applyFill="1" applyBorder="1" applyAlignment="1" applyProtection="1">
      <alignment horizontal="center" vertical="center"/>
      <protection hidden="1"/>
    </xf>
    <xf numFmtId="0" fontId="24" fillId="2" borderId="13" xfId="0" applyFont="1" applyFill="1" applyBorder="1" applyAlignment="1" applyProtection="1">
      <alignment horizontal="center" vertical="center"/>
      <protection hidden="1"/>
    </xf>
    <xf numFmtId="0" fontId="24" fillId="2" borderId="14" xfId="0" applyFont="1" applyFill="1" applyBorder="1" applyAlignment="1" applyProtection="1">
      <alignment horizontal="center" vertical="center"/>
      <protection hidden="1"/>
    </xf>
    <xf numFmtId="0" fontId="79" fillId="16" borderId="58" xfId="0" applyFont="1" applyFill="1" applyBorder="1" applyAlignment="1" applyProtection="1">
      <alignment horizontal="right" vertical="center" wrapText="1"/>
      <protection hidden="1"/>
    </xf>
    <xf numFmtId="0" fontId="79" fillId="16" borderId="58" xfId="0" applyFont="1" applyFill="1" applyBorder="1" applyAlignment="1" applyProtection="1">
      <alignment horizontal="right" vertical="top" wrapText="1"/>
      <protection hidden="1"/>
    </xf>
    <xf numFmtId="0" fontId="25" fillId="2" borderId="12" xfId="0" applyFont="1" applyFill="1" applyBorder="1" applyAlignment="1" applyProtection="1">
      <alignment horizontal="left" vertical="center" indent="1"/>
      <protection hidden="1"/>
    </xf>
    <xf numFmtId="0" fontId="25" fillId="2" borderId="13" xfId="0" applyFont="1" applyFill="1" applyBorder="1" applyAlignment="1" applyProtection="1">
      <alignment horizontal="left" vertical="center" indent="1"/>
      <protection hidden="1"/>
    </xf>
    <xf numFmtId="0" fontId="25" fillId="2" borderId="14" xfId="0" applyFont="1" applyFill="1" applyBorder="1" applyAlignment="1" applyProtection="1">
      <alignment horizontal="left" vertical="center" indent="1"/>
      <protection hidden="1"/>
    </xf>
    <xf numFmtId="0" fontId="24" fillId="11" borderId="46" xfId="0" applyFont="1" applyFill="1" applyBorder="1" applyAlignment="1">
      <alignment horizontal="center" vertical="top" wrapText="1"/>
    </xf>
    <xf numFmtId="0" fontId="24" fillId="11" borderId="47" xfId="0" applyFont="1" applyFill="1" applyBorder="1" applyAlignment="1">
      <alignment horizontal="center" vertical="top" wrapText="1"/>
    </xf>
    <xf numFmtId="0" fontId="24" fillId="11" borderId="48" xfId="0" applyFont="1" applyFill="1" applyBorder="1" applyAlignment="1">
      <alignment horizontal="center" vertical="top" wrapText="1"/>
    </xf>
    <xf numFmtId="0" fontId="24" fillId="11" borderId="44" xfId="0" applyFont="1" applyFill="1" applyBorder="1" applyAlignment="1">
      <alignment horizontal="center" vertical="top" wrapText="1"/>
    </xf>
    <xf numFmtId="0" fontId="24" fillId="11" borderId="45" xfId="0" applyFont="1" applyFill="1" applyBorder="1" applyAlignment="1">
      <alignment horizontal="center" vertical="top" wrapText="1"/>
    </xf>
    <xf numFmtId="0" fontId="24" fillId="11" borderId="50" xfId="0" applyFont="1" applyFill="1" applyBorder="1" applyAlignment="1">
      <alignment horizontal="center" vertical="top" wrapText="1"/>
    </xf>
    <xf numFmtId="0" fontId="24" fillId="11" borderId="66" xfId="0" applyFont="1" applyFill="1" applyBorder="1" applyAlignment="1">
      <alignment horizontal="center" vertical="top" wrapText="1"/>
    </xf>
    <xf numFmtId="0" fontId="24" fillId="11" borderId="56" xfId="0" applyFont="1" applyFill="1" applyBorder="1" applyAlignment="1">
      <alignment horizontal="center" vertical="top" wrapText="1"/>
    </xf>
    <xf numFmtId="0" fontId="24" fillId="11" borderId="61" xfId="0" applyFont="1" applyFill="1" applyBorder="1" applyAlignment="1">
      <alignment horizontal="center" vertical="top" wrapText="1"/>
    </xf>
    <xf numFmtId="0" fontId="24" fillId="22" borderId="16" xfId="0" applyFont="1" applyFill="1" applyBorder="1" applyAlignment="1">
      <alignment horizontal="center" vertical="center" wrapText="1"/>
    </xf>
    <xf numFmtId="0" fontId="85" fillId="16" borderId="58" xfId="0" applyFont="1" applyFill="1" applyBorder="1" applyAlignment="1" applyProtection="1">
      <alignment horizontal="center" vertical="center" wrapText="1"/>
      <protection hidden="1"/>
    </xf>
    <xf numFmtId="0" fontId="85" fillId="16" borderId="58" xfId="0" applyFont="1" applyFill="1" applyBorder="1" applyAlignment="1" applyProtection="1">
      <alignment horizontal="right" vertical="top" wrapText="1"/>
      <protection hidden="1"/>
    </xf>
    <xf numFmtId="0" fontId="84" fillId="2" borderId="0" xfId="0" applyFont="1" applyFill="1" applyAlignment="1">
      <alignment horizontal="left" vertical="top" wrapText="1"/>
    </xf>
    <xf numFmtId="0" fontId="46" fillId="24" borderId="16" xfId="0" applyFont="1" applyFill="1" applyBorder="1" applyAlignment="1">
      <alignment horizontal="center" vertical="center" wrapText="1"/>
    </xf>
    <xf numFmtId="0" fontId="19" fillId="16" borderId="13" xfId="0" applyFont="1" applyFill="1" applyBorder="1" applyAlignment="1">
      <alignment horizontal="center" vertical="center" wrapText="1"/>
    </xf>
    <xf numFmtId="4" fontId="1" fillId="16" borderId="47" xfId="0" applyNumberFormat="1" applyFont="1" applyFill="1" applyBorder="1" applyAlignment="1">
      <alignment horizontal="center" vertical="top" wrapText="1"/>
    </xf>
    <xf numFmtId="4" fontId="1" fillId="16" borderId="0" xfId="0" applyNumberFormat="1" applyFont="1" applyFill="1" applyAlignment="1">
      <alignment horizontal="center" vertical="top" wrapText="1"/>
    </xf>
    <xf numFmtId="0" fontId="24" fillId="11" borderId="52" xfId="0" applyFont="1" applyFill="1" applyBorder="1" applyAlignment="1">
      <alignment horizontal="center" vertical="top" wrapText="1"/>
    </xf>
    <xf numFmtId="0" fontId="24" fillId="11" borderId="53" xfId="0" applyFont="1" applyFill="1" applyBorder="1" applyAlignment="1">
      <alignment horizontal="center" vertical="top" wrapText="1"/>
    </xf>
    <xf numFmtId="0" fontId="24" fillId="11" borderId="59" xfId="0" applyFont="1" applyFill="1" applyBorder="1" applyAlignment="1">
      <alignment horizontal="center" vertical="top" wrapText="1"/>
    </xf>
    <xf numFmtId="0" fontId="24" fillId="11" borderId="55" xfId="0" applyFont="1" applyFill="1" applyBorder="1" applyAlignment="1">
      <alignment horizontal="center" vertical="top" wrapText="1"/>
    </xf>
    <xf numFmtId="49" fontId="1" fillId="2" borderId="16" xfId="0" applyNumberFormat="1" applyFont="1" applyFill="1" applyBorder="1" applyAlignment="1">
      <alignment horizontal="right" vertical="top" wrapText="1" indent="1"/>
    </xf>
    <xf numFmtId="0" fontId="1" fillId="2" borderId="16" xfId="0" applyFont="1" applyFill="1" applyBorder="1" applyAlignment="1">
      <alignment horizontal="right" vertical="top" wrapText="1" indent="1"/>
    </xf>
    <xf numFmtId="0" fontId="24" fillId="4" borderId="11" xfId="0" applyFont="1" applyFill="1" applyBorder="1" applyAlignment="1">
      <alignment horizontal="right" vertical="center" indent="1"/>
    </xf>
  </cellXfs>
  <cellStyles count="7">
    <cellStyle name="_x000a_bidires=100_x000a_" xfId="2" xr:uid="{915EB7C4-9757-417B-A4B8-CAB6B6443803}"/>
    <cellStyle name="Comma 2" xfId="6" xr:uid="{622A4B8C-7AF8-45C8-8B21-2D9B78C8B5A0}"/>
    <cellStyle name="Hyperlink" xfId="4" builtinId="8"/>
    <cellStyle name="Normal" xfId="0" builtinId="0"/>
    <cellStyle name="Percent" xfId="1" builtinId="5"/>
    <cellStyle name="Percent 9" xfId="5" xr:uid="{A6E287B4-831F-4DA5-AA0D-81738905C31D}"/>
    <cellStyle name="Style 1" xfId="3" xr:uid="{4A6ABBBD-225B-40F1-B84C-2AC910BA6945}"/>
  </cellStyles>
  <dxfs count="77">
    <dxf>
      <font>
        <b/>
        <i val="0"/>
        <color theme="4"/>
      </font>
    </dxf>
    <dxf>
      <font>
        <b/>
        <i val="0"/>
        <color theme="4"/>
      </font>
    </dxf>
    <dxf>
      <font>
        <b/>
        <i val="0"/>
        <color theme="4"/>
      </font>
    </dxf>
    <dxf>
      <font>
        <b/>
        <i val="0"/>
        <color theme="4"/>
      </font>
    </dxf>
    <dxf>
      <font>
        <b/>
        <i val="0"/>
        <color theme="4"/>
      </font>
    </dxf>
    <dxf>
      <font>
        <b/>
        <i val="0"/>
        <color theme="4"/>
      </font>
    </dxf>
    <dxf>
      <font>
        <b/>
        <i val="0"/>
        <color theme="4"/>
      </font>
    </dxf>
    <dxf>
      <font>
        <b/>
        <i val="0"/>
        <color theme="4"/>
      </font>
    </dxf>
    <dxf>
      <font>
        <b/>
        <i val="0"/>
        <color theme="4"/>
      </font>
    </dxf>
    <dxf>
      <font>
        <b/>
        <i val="0"/>
        <color theme="4"/>
      </font>
    </dxf>
    <dxf>
      <font>
        <b/>
        <i val="0"/>
        <color theme="4"/>
      </font>
    </dxf>
    <dxf>
      <font>
        <b/>
        <i val="0"/>
        <color theme="4"/>
      </font>
    </dxf>
    <dxf>
      <font>
        <b/>
        <i val="0"/>
        <color theme="4"/>
      </font>
    </dxf>
    <dxf>
      <font>
        <b/>
        <i val="0"/>
        <color theme="4"/>
      </font>
    </dxf>
    <dxf>
      <font>
        <b/>
        <i val="0"/>
        <color theme="4"/>
      </font>
    </dxf>
    <dxf>
      <font>
        <b/>
        <i val="0"/>
        <color theme="4"/>
      </font>
    </dxf>
    <dxf>
      <font>
        <b/>
        <i val="0"/>
        <color theme="4"/>
      </font>
    </dxf>
    <dxf>
      <font>
        <b/>
        <i val="0"/>
        <color theme="4"/>
      </font>
    </dxf>
    <dxf>
      <font>
        <b/>
        <i val="0"/>
        <color theme="4"/>
      </font>
    </dxf>
    <dxf>
      <font>
        <b/>
        <i val="0"/>
        <color theme="4"/>
      </font>
    </dxf>
    <dxf>
      <font>
        <b/>
        <i val="0"/>
        <color theme="4"/>
      </font>
    </dxf>
    <dxf>
      <font>
        <b/>
        <i val="0"/>
        <color theme="4"/>
      </font>
    </dxf>
    <dxf>
      <font>
        <b/>
        <i val="0"/>
        <color theme="4"/>
      </font>
    </dxf>
    <dxf>
      <font>
        <b/>
        <i val="0"/>
        <color theme="4"/>
      </font>
    </dxf>
    <dxf>
      <font>
        <b/>
        <i val="0"/>
        <color theme="4"/>
      </font>
    </dxf>
    <dxf>
      <font>
        <b/>
        <i val="0"/>
        <color theme="4"/>
      </font>
    </dxf>
    <dxf>
      <font>
        <b/>
        <i val="0"/>
        <color theme="4"/>
      </font>
    </dxf>
    <dxf>
      <font>
        <b/>
        <i val="0"/>
        <color theme="4"/>
      </font>
    </dxf>
    <dxf>
      <font>
        <b/>
        <i val="0"/>
        <color theme="4"/>
      </font>
    </dxf>
    <dxf>
      <font>
        <b/>
        <i val="0"/>
        <color theme="4"/>
      </font>
    </dxf>
    <dxf>
      <font>
        <b/>
        <i val="0"/>
        <color theme="4"/>
      </font>
    </dxf>
    <dxf>
      <font>
        <b/>
        <i val="0"/>
        <color theme="4"/>
      </font>
    </dxf>
    <dxf>
      <font>
        <b/>
        <i val="0"/>
        <color theme="4"/>
      </font>
    </dxf>
    <dxf>
      <font>
        <b/>
        <i val="0"/>
        <color theme="4"/>
      </font>
    </dxf>
    <dxf>
      <font>
        <b/>
        <i val="0"/>
        <color theme="4"/>
      </font>
    </dxf>
    <dxf>
      <font>
        <b/>
        <i val="0"/>
        <color theme="4"/>
      </font>
    </dxf>
    <dxf>
      <font>
        <b/>
        <i val="0"/>
        <color theme="4"/>
      </font>
    </dxf>
    <dxf>
      <font>
        <b/>
        <i val="0"/>
        <color theme="4"/>
      </font>
    </dxf>
    <dxf>
      <font>
        <b/>
        <i val="0"/>
        <color theme="4"/>
      </font>
    </dxf>
    <dxf>
      <font>
        <b/>
        <i val="0"/>
        <color theme="4"/>
      </font>
    </dxf>
    <dxf>
      <font>
        <b/>
        <i val="0"/>
        <color theme="4"/>
      </font>
    </dxf>
    <dxf>
      <font>
        <b/>
        <i val="0"/>
        <color theme="4"/>
      </font>
    </dxf>
    <dxf>
      <font>
        <b/>
        <i val="0"/>
        <color theme="4"/>
      </font>
    </dxf>
    <dxf>
      <font>
        <b/>
        <i val="0"/>
        <color theme="4"/>
      </font>
    </dxf>
    <dxf>
      <font>
        <b/>
        <i val="0"/>
        <color theme="4"/>
      </font>
    </dxf>
    <dxf>
      <font>
        <b/>
        <i val="0"/>
        <color theme="4"/>
      </font>
    </dxf>
    <dxf>
      <font>
        <b/>
        <i val="0"/>
        <color theme="4"/>
      </font>
    </dxf>
    <dxf>
      <font>
        <b/>
        <i val="0"/>
        <color theme="4"/>
      </font>
    </dxf>
    <dxf>
      <font>
        <b/>
        <i val="0"/>
        <color theme="4"/>
      </font>
    </dxf>
    <dxf>
      <font>
        <b/>
        <i val="0"/>
        <color theme="4"/>
      </font>
    </dxf>
    <dxf>
      <font>
        <b/>
        <i val="0"/>
        <color theme="4"/>
      </font>
    </dxf>
    <dxf>
      <font>
        <b/>
        <i val="0"/>
        <color theme="4"/>
      </font>
    </dxf>
    <dxf>
      <font>
        <b/>
        <i val="0"/>
        <color theme="4"/>
      </font>
    </dxf>
    <dxf>
      <font>
        <b/>
        <i val="0"/>
        <color theme="4"/>
      </font>
    </dxf>
    <dxf>
      <font>
        <b/>
        <i val="0"/>
        <color theme="4"/>
      </font>
    </dxf>
    <dxf>
      <font>
        <b/>
        <i val="0"/>
        <color theme="4"/>
      </font>
    </dxf>
    <dxf>
      <font>
        <b/>
        <i val="0"/>
        <color theme="4"/>
      </font>
    </dxf>
    <dxf>
      <font>
        <b/>
        <i val="0"/>
        <color theme="4"/>
      </font>
    </dxf>
    <dxf>
      <font>
        <b/>
        <i val="0"/>
        <color theme="4"/>
      </font>
    </dxf>
    <dxf>
      <font>
        <b/>
        <i val="0"/>
        <color theme="4"/>
      </font>
    </dxf>
    <dxf>
      <font>
        <b/>
        <i val="0"/>
        <color theme="4"/>
      </font>
    </dxf>
    <dxf>
      <font>
        <b/>
        <i val="0"/>
        <color theme="4"/>
      </font>
    </dxf>
    <dxf>
      <font>
        <b/>
        <i val="0"/>
        <color theme="4"/>
      </font>
    </dxf>
    <dxf>
      <font>
        <b/>
        <i val="0"/>
        <color theme="4"/>
      </font>
    </dxf>
    <dxf>
      <font>
        <b/>
        <i val="0"/>
        <color theme="4"/>
      </font>
    </dxf>
    <dxf>
      <font>
        <b/>
        <i val="0"/>
        <color theme="4"/>
      </font>
    </dxf>
    <dxf>
      <font>
        <b/>
        <i val="0"/>
        <color theme="4"/>
      </font>
    </dxf>
    <dxf>
      <font>
        <b/>
        <i val="0"/>
        <color theme="4"/>
      </font>
    </dxf>
    <dxf>
      <font>
        <b/>
        <i val="0"/>
        <color theme="4"/>
      </font>
    </dxf>
    <dxf>
      <font>
        <b/>
        <i val="0"/>
        <color theme="4"/>
      </font>
    </dxf>
    <dxf>
      <font>
        <b/>
        <i val="0"/>
        <color theme="4"/>
      </font>
    </dxf>
    <dxf>
      <font>
        <b/>
        <i val="0"/>
        <color theme="4"/>
      </font>
    </dxf>
    <dxf>
      <font>
        <b/>
        <i val="0"/>
        <color theme="4"/>
      </font>
    </dxf>
    <dxf>
      <font>
        <b/>
        <i val="0"/>
        <color theme="4"/>
      </font>
    </dxf>
    <dxf>
      <font>
        <b/>
        <i val="0"/>
        <color theme="4"/>
      </font>
    </dxf>
    <dxf>
      <font>
        <b/>
        <i val="0"/>
        <color theme="4"/>
      </font>
    </dxf>
    <dxf>
      <font>
        <b/>
        <i val="0"/>
        <color theme="4"/>
      </font>
    </dxf>
  </dxfs>
  <tableStyles count="0" defaultTableStyle="TableStyleMedium2" defaultPivotStyle="PivotStyleLight16"/>
  <colors>
    <mruColors>
      <color rgb="FF7030A0"/>
      <color rgb="FFBF8F00"/>
      <color rgb="FFEAB200"/>
      <color rgb="FFF6FAF4"/>
      <color rgb="FFFFF7E1"/>
      <color rgb="FFFBFBFB"/>
      <color rgb="FFFFFDF7"/>
      <color rgb="FFEAF3FA"/>
      <color rgb="FFCAEAC8"/>
      <color rgb="FFEDF1F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3" Type="http://schemas.openxmlformats.org/officeDocument/2006/relationships/image" Target="../media/image2.svg"/><Relationship Id="rId2" Type="http://schemas.openxmlformats.org/officeDocument/2006/relationships/image" Target="../media/image1.png"/><Relationship Id="rId1" Type="http://schemas.openxmlformats.org/officeDocument/2006/relationships/hyperlink" Target="https://www.spglobal.com/spdji/en/documents/education/faq-spdji-eu-low-carbon-benchmark-regulation.pdf" TargetMode="External"/><Relationship Id="rId5" Type="http://schemas.openxmlformats.org/officeDocument/2006/relationships/image" Target="../media/image3.png"/><Relationship Id="rId4" Type="http://schemas.openxmlformats.org/officeDocument/2006/relationships/hyperlink" Target="https://www.spglobal.com/spdji/en/documents/education/faq-spdji-approach-to-the-eu-low-carbon-benchmark-regulation-disclosure-requirements.pdf" TargetMode="External"/></Relationships>
</file>

<file path=xl/drawings/_rels/drawing2.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https://www.spglobal.com/spdji/en/documents/additional-material/spdji-esg-metrics-reference-guide.pdf" TargetMode="External"/><Relationship Id="rId1" Type="http://schemas.openxmlformats.org/officeDocument/2006/relationships/image" Target="../media/image3.png"/><Relationship Id="rId4" Type="http://schemas.openxmlformats.org/officeDocument/2006/relationships/image" Target="../media/image2.sv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oneCellAnchor>
    <xdr:from>
      <xdr:col>1</xdr:col>
      <xdr:colOff>300566</xdr:colOff>
      <xdr:row>21</xdr:row>
      <xdr:rowOff>105833</xdr:rowOff>
    </xdr:from>
    <xdr:ext cx="419101" cy="419101"/>
    <xdr:pic>
      <xdr:nvPicPr>
        <xdr:cNvPr id="9" name="Graphic 8" descr="Contract with solid fill">
          <a:hlinkClick xmlns:r="http://schemas.openxmlformats.org/officeDocument/2006/relationships" r:id="rId1"/>
          <a:extLst>
            <a:ext uri="{FF2B5EF4-FFF2-40B4-BE49-F238E27FC236}">
              <a16:creationId xmlns:a16="http://schemas.microsoft.com/office/drawing/2014/main" id="{201E83E2-F92C-4F78-9247-EF43A5491B5A}"/>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681566" y="7249583"/>
          <a:ext cx="419101" cy="419101"/>
        </a:xfrm>
        <a:prstGeom prst="rect">
          <a:avLst/>
        </a:prstGeom>
      </xdr:spPr>
    </xdr:pic>
    <xdr:clientData/>
  </xdr:oneCellAnchor>
  <xdr:oneCellAnchor>
    <xdr:from>
      <xdr:col>1</xdr:col>
      <xdr:colOff>300566</xdr:colOff>
      <xdr:row>23</xdr:row>
      <xdr:rowOff>268816</xdr:rowOff>
    </xdr:from>
    <xdr:ext cx="419101" cy="419101"/>
    <xdr:pic>
      <xdr:nvPicPr>
        <xdr:cNvPr id="10" name="Graphic 9" descr="Contract with solid fill">
          <a:hlinkClick xmlns:r="http://schemas.openxmlformats.org/officeDocument/2006/relationships" r:id="rId4"/>
          <a:extLst>
            <a:ext uri="{FF2B5EF4-FFF2-40B4-BE49-F238E27FC236}">
              <a16:creationId xmlns:a16="http://schemas.microsoft.com/office/drawing/2014/main" id="{03196E5C-5090-4A91-9BF7-B4BB82AE7257}"/>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681566" y="8058149"/>
          <a:ext cx="419101" cy="419101"/>
        </a:xfrm>
        <a:prstGeom prst="rect">
          <a:avLst/>
        </a:prstGeom>
      </xdr:spPr>
    </xdr:pic>
    <xdr:clientData/>
  </xdr:oneCellAnchor>
  <xdr:oneCellAnchor>
    <xdr:from>
      <xdr:col>1</xdr:col>
      <xdr:colOff>0</xdr:colOff>
      <xdr:row>0</xdr:row>
      <xdr:rowOff>116668</xdr:rowOff>
    </xdr:from>
    <xdr:ext cx="1946842" cy="701361"/>
    <xdr:pic>
      <xdr:nvPicPr>
        <xdr:cNvPr id="3" name="Picture 2" descr="Legal Disclaimers | S&amp;P Dow Jones Indices">
          <a:extLst>
            <a:ext uri="{FF2B5EF4-FFF2-40B4-BE49-F238E27FC236}">
              <a16:creationId xmlns:a16="http://schemas.microsoft.com/office/drawing/2014/main" id="{7D665592-EE02-4ACD-B850-5958A04302F3}"/>
            </a:ext>
          </a:extLst>
        </xdr:cNvPr>
        <xdr:cNvPicPr>
          <a:picLocks noChangeAspect="1" noChangeArrowheads="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r="26804"/>
        <a:stretch/>
      </xdr:blipFill>
      <xdr:spPr bwMode="auto">
        <a:xfrm>
          <a:off x="381000" y="116668"/>
          <a:ext cx="1946842" cy="70136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380458</xdr:colOff>
      <xdr:row>0</xdr:row>
      <xdr:rowOff>113824</xdr:rowOff>
    </xdr:from>
    <xdr:ext cx="2030558" cy="731520"/>
    <xdr:pic>
      <xdr:nvPicPr>
        <xdr:cNvPr id="2" name="Picture 1" descr="Legal Disclaimers | S&amp;P Dow Jones Indices">
          <a:extLst>
            <a:ext uri="{FF2B5EF4-FFF2-40B4-BE49-F238E27FC236}">
              <a16:creationId xmlns:a16="http://schemas.microsoft.com/office/drawing/2014/main" id="{8067FC61-3603-4E69-95EF-E189A3A1743A}"/>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26804"/>
        <a:stretch/>
      </xdr:blipFill>
      <xdr:spPr bwMode="auto">
        <a:xfrm>
          <a:off x="380458" y="113824"/>
          <a:ext cx="2030558" cy="7315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379120</xdr:colOff>
      <xdr:row>54</xdr:row>
      <xdr:rowOff>113111</xdr:rowOff>
    </xdr:from>
    <xdr:ext cx="2030558" cy="731520"/>
    <xdr:pic>
      <xdr:nvPicPr>
        <xdr:cNvPr id="5" name="Picture 4" descr="Legal Disclaimers | S&amp;P Dow Jones Indices">
          <a:extLst>
            <a:ext uri="{FF2B5EF4-FFF2-40B4-BE49-F238E27FC236}">
              <a16:creationId xmlns:a16="http://schemas.microsoft.com/office/drawing/2014/main" id="{8E8A4853-A07D-42B5-92B5-B54B20D04D8F}"/>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26804"/>
        <a:stretch/>
      </xdr:blipFill>
      <xdr:spPr bwMode="auto">
        <a:xfrm>
          <a:off x="379120" y="16229411"/>
          <a:ext cx="2030558" cy="7315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379120</xdr:colOff>
      <xdr:row>110</xdr:row>
      <xdr:rowOff>113111</xdr:rowOff>
    </xdr:from>
    <xdr:ext cx="2030558" cy="731520"/>
    <xdr:pic>
      <xdr:nvPicPr>
        <xdr:cNvPr id="6" name="Picture 5" descr="Legal Disclaimers | S&amp;P Dow Jones Indices">
          <a:extLst>
            <a:ext uri="{FF2B5EF4-FFF2-40B4-BE49-F238E27FC236}">
              <a16:creationId xmlns:a16="http://schemas.microsoft.com/office/drawing/2014/main" id="{4CCE5DB1-53A5-4553-8723-F422434544A0}"/>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26804"/>
        <a:stretch/>
      </xdr:blipFill>
      <xdr:spPr bwMode="auto">
        <a:xfrm>
          <a:off x="379120" y="32658131"/>
          <a:ext cx="2030558" cy="7315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16</xdr:col>
      <xdr:colOff>107156</xdr:colOff>
      <xdr:row>4</xdr:row>
      <xdr:rowOff>97149</xdr:rowOff>
    </xdr:from>
    <xdr:ext cx="418321" cy="418321"/>
    <xdr:pic>
      <xdr:nvPicPr>
        <xdr:cNvPr id="32" name="Graphic 31" descr="Contract with solid fill">
          <a:hlinkClick xmlns:r="http://schemas.openxmlformats.org/officeDocument/2006/relationships" r:id="rId2"/>
          <a:extLst>
            <a:ext uri="{FF2B5EF4-FFF2-40B4-BE49-F238E27FC236}">
              <a16:creationId xmlns:a16="http://schemas.microsoft.com/office/drawing/2014/main" id="{82E3748A-704C-470A-B45A-DBD8949E60BF}"/>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4775656" y="1823555"/>
          <a:ext cx="418321" cy="418321"/>
        </a:xfrm>
        <a:prstGeom prst="rect">
          <a:avLst/>
        </a:prstGeom>
      </xdr:spPr>
    </xdr:pic>
    <xdr:clientData/>
  </xdr:oneCellAnchor>
  <xdr:oneCellAnchor>
    <xdr:from>
      <xdr:col>16</xdr:col>
      <xdr:colOff>131548</xdr:colOff>
      <xdr:row>58</xdr:row>
      <xdr:rowOff>69154</xdr:rowOff>
    </xdr:from>
    <xdr:ext cx="419101" cy="419101"/>
    <xdr:pic>
      <xdr:nvPicPr>
        <xdr:cNvPr id="40" name="Graphic 39" descr="Contract with solid fill">
          <a:hlinkClick xmlns:r="http://schemas.openxmlformats.org/officeDocument/2006/relationships" r:id="rId2"/>
          <a:extLst>
            <a:ext uri="{FF2B5EF4-FFF2-40B4-BE49-F238E27FC236}">
              <a16:creationId xmlns:a16="http://schemas.microsoft.com/office/drawing/2014/main" id="{A206C14F-DE52-47C8-9455-B44CA3E90636}"/>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4800048" y="17940435"/>
          <a:ext cx="419101" cy="419101"/>
        </a:xfrm>
        <a:prstGeom prst="rect">
          <a:avLst/>
        </a:prstGeom>
      </xdr:spPr>
    </xdr:pic>
    <xdr:clientData/>
  </xdr:oneCellAnchor>
  <xdr:oneCellAnchor>
    <xdr:from>
      <xdr:col>16</xdr:col>
      <xdr:colOff>119063</xdr:colOff>
      <xdr:row>114</xdr:row>
      <xdr:rowOff>68035</xdr:rowOff>
    </xdr:from>
    <xdr:ext cx="419101" cy="419101"/>
    <xdr:pic>
      <xdr:nvPicPr>
        <xdr:cNvPr id="42" name="Graphic 41" descr="Contract with solid fill">
          <a:hlinkClick xmlns:r="http://schemas.openxmlformats.org/officeDocument/2006/relationships" r:id="rId2"/>
          <a:extLst>
            <a:ext uri="{FF2B5EF4-FFF2-40B4-BE49-F238E27FC236}">
              <a16:creationId xmlns:a16="http://schemas.microsoft.com/office/drawing/2014/main" id="{159DAC6A-448D-4D85-BD15-342A3C8C451E}"/>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4787563" y="34429473"/>
          <a:ext cx="419101" cy="419101"/>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380458</xdr:colOff>
      <xdr:row>0</xdr:row>
      <xdr:rowOff>113824</xdr:rowOff>
    </xdr:from>
    <xdr:ext cx="2030558" cy="731520"/>
    <xdr:pic>
      <xdr:nvPicPr>
        <xdr:cNvPr id="2" name="Picture 1" descr="Legal Disclaimers | S&amp;P Dow Jones Indices">
          <a:extLst>
            <a:ext uri="{FF2B5EF4-FFF2-40B4-BE49-F238E27FC236}">
              <a16:creationId xmlns:a16="http://schemas.microsoft.com/office/drawing/2014/main" id="{CCFB879F-2473-4566-B925-00F22E371E72}"/>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26804"/>
        <a:stretch/>
      </xdr:blipFill>
      <xdr:spPr bwMode="auto">
        <a:xfrm>
          <a:off x="380458" y="113824"/>
          <a:ext cx="2030558" cy="7315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4.xml><?xml version="1.0" encoding="utf-8"?>
<xdr:wsDr xmlns:xdr="http://schemas.openxmlformats.org/drawingml/2006/spreadsheetDrawing" xmlns:a="http://schemas.openxmlformats.org/drawingml/2006/main">
  <xdr:oneCellAnchor>
    <xdr:from>
      <xdr:col>0</xdr:col>
      <xdr:colOff>380458</xdr:colOff>
      <xdr:row>0</xdr:row>
      <xdr:rowOff>113824</xdr:rowOff>
    </xdr:from>
    <xdr:ext cx="2030558" cy="731520"/>
    <xdr:pic>
      <xdr:nvPicPr>
        <xdr:cNvPr id="2" name="Picture 1" descr="Legal Disclaimers | S&amp;P Dow Jones Indices">
          <a:extLst>
            <a:ext uri="{FF2B5EF4-FFF2-40B4-BE49-F238E27FC236}">
              <a16:creationId xmlns:a16="http://schemas.microsoft.com/office/drawing/2014/main" id="{71AAE242-0999-4D02-BCEC-5C20F503C6D1}"/>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26804"/>
        <a:stretch/>
      </xdr:blipFill>
      <xdr:spPr bwMode="auto">
        <a:xfrm>
          <a:off x="380458" y="113824"/>
          <a:ext cx="2030558" cy="7315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5.xml><?xml version="1.0" encoding="utf-8"?>
<xdr:wsDr xmlns:xdr="http://schemas.openxmlformats.org/drawingml/2006/spreadsheetDrawing" xmlns:a="http://schemas.openxmlformats.org/drawingml/2006/main">
  <xdr:oneCellAnchor>
    <xdr:from>
      <xdr:col>0</xdr:col>
      <xdr:colOff>380458</xdr:colOff>
      <xdr:row>0</xdr:row>
      <xdr:rowOff>113824</xdr:rowOff>
    </xdr:from>
    <xdr:ext cx="2030558" cy="731520"/>
    <xdr:pic>
      <xdr:nvPicPr>
        <xdr:cNvPr id="2" name="Picture 1" descr="Legal Disclaimers | S&amp;P Dow Jones Indices">
          <a:extLst>
            <a:ext uri="{FF2B5EF4-FFF2-40B4-BE49-F238E27FC236}">
              <a16:creationId xmlns:a16="http://schemas.microsoft.com/office/drawing/2014/main" id="{56E3CFAE-8E42-4D00-B642-6E1AAA031CDA}"/>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26804"/>
        <a:stretch/>
      </xdr:blipFill>
      <xdr:spPr bwMode="auto">
        <a:xfrm>
          <a:off x="380458" y="113824"/>
          <a:ext cx="2030558" cy="7315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6.xml><?xml version="1.0" encoding="utf-8"?>
<xdr:wsDr xmlns:xdr="http://schemas.openxmlformats.org/drawingml/2006/spreadsheetDrawing" xmlns:a="http://schemas.openxmlformats.org/drawingml/2006/main">
  <xdr:oneCellAnchor>
    <xdr:from>
      <xdr:col>1</xdr:col>
      <xdr:colOff>0</xdr:colOff>
      <xdr:row>0</xdr:row>
      <xdr:rowOff>113107</xdr:rowOff>
    </xdr:from>
    <xdr:ext cx="2030558" cy="731520"/>
    <xdr:pic>
      <xdr:nvPicPr>
        <xdr:cNvPr id="33" name="Picture 32" descr="Legal Disclaimers | S&amp;P Dow Jones Indices">
          <a:extLst>
            <a:ext uri="{FF2B5EF4-FFF2-40B4-BE49-F238E27FC236}">
              <a16:creationId xmlns:a16="http://schemas.microsoft.com/office/drawing/2014/main" id="{8B9958DF-787D-4730-B0B5-D351C9A12071}"/>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26804"/>
        <a:stretch/>
      </xdr:blipFill>
      <xdr:spPr bwMode="auto">
        <a:xfrm>
          <a:off x="381000" y="52300582"/>
          <a:ext cx="2030558" cy="7315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narottama_bowden\OneDrive%20-%20S&amp;P%20Global\_ESG%20Index%20Intelligence\PACT%20Report%20v2023\IMPG%20Rebalancing%20Outputs%20Files\Batch%202%20Request%20Table.xlsx" TargetMode="External"/></Relationships>
</file>

<file path=xl/externalLinks/_rels/externalLink2.xml.rels><?xml version="1.0" encoding="UTF-8" standalone="yes"?>
<Relationships xmlns="http://schemas.openxmlformats.org/package/2006/relationships"><Relationship Id="rId3" Type="http://schemas.openxmlformats.org/officeDocument/2006/relationships/externalLinkPath" Target="https://spgl.sharepoint.com/sites/collab_nam_indices_policygov_op_m/Shared%20Documents/Regulatory%20Operations/ESG/ESG%20Disclosures/VanEck/IAS-VanEck-eu-low-carbon-benchmark-regulation-disclosure-report%20-%20September%202025%20-%20version%201%20-%20FI.xlsx" TargetMode="External"/><Relationship Id="rId2" Type="http://schemas.microsoft.com/office/2019/04/relationships/externalLinkLongPath" Target="IAS-VanEck-eu-low-carbon-benchmark-regulation-disclosure-report%20-%20September%202025%20-%20version%201%20-%20FI.xlsx?1DADFABB" TargetMode="External"/><Relationship Id="rId1" Type="http://schemas.openxmlformats.org/officeDocument/2006/relationships/externalLinkPath" Target="file:///\\1DADFABB\IAS-VanEck-eu-low-carbon-benchmark-regulation-disclosure-report%20-%20September%202025%20-%20version%201%20-%20F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cking list - Batch 2"/>
      <sheetName val="Batch 2 request list"/>
      <sheetName val="Tracking list - 1"/>
      <sheetName val="Data aggregation"/>
      <sheetName val="List of PACT indices"/>
      <sheetName val="Index Master"/>
    </sheetNames>
    <sheetDataSet>
      <sheetData sheetId="0"/>
      <sheetData sheetId="1"/>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Front Cover"/>
      <sheetName val="I. ESG Factors Report - FI (1)"/>
      <sheetName val="I. ESG Factors Report - FI (2)"/>
      <sheetName val="I. ESG Factors Report - FI (3)"/>
      <sheetName val="FAQs "/>
      <sheetName val="Appendices"/>
      <sheetName val="General Disclaimer "/>
      <sheetName val="Database - FI"/>
      <sheetName val="REF"/>
      <sheetName val="Index List"/>
    </sheetNames>
    <sheetDataSet>
      <sheetData sheetId="0"/>
      <sheetData sheetId="1">
        <row r="8">
          <cell r="I8" t="str">
            <v xml:space="preserve">Multi-Asset Allocation Indices Methodology </v>
          </cell>
        </row>
      </sheetData>
      <sheetData sheetId="2"/>
      <sheetData sheetId="3"/>
      <sheetData sheetId="4"/>
      <sheetData sheetId="5"/>
      <sheetData sheetId="6"/>
      <sheetData sheetId="7">
        <row r="1">
          <cell r="B1">
            <v>1</v>
          </cell>
        </row>
      </sheetData>
      <sheetData sheetId="8">
        <row r="4">
          <cell r="AR4" t="str">
            <v xml:space="preserve">The ‘Weighted-Average ESG Score’ is an index weighted average of the Sustainalytics corporate and sovereign ESG Risk Scores of index constituents. The lowest score possible (best) is 0. This metric is a consolidated score including any corporate and sovereign bonds. </v>
          </cell>
          <cell r="AS4" t="str">
            <v xml:space="preserve">The ‘Weighted-Average Environmental Score’ is an index weighted average of the Sustainalytics corporate and sovereign Environmental Risk Scores  of index constituents. The lowest score possible (best) is 0. This metric is a consolidated score including any corporate and sovereign bonds. </v>
          </cell>
          <cell r="AT4" t="str">
            <v xml:space="preserve">The ‘Weighted-Average Social Score’ is an index weighted average of the Sustainalytics corporate and sovereign Social Risk Scores of index constituents. The lowest score possible (best) is 0. This metric is a consolidated score including any corporate and sovereign bonds. </v>
          </cell>
          <cell r="AU4" t="str">
            <v xml:space="preserve">The ‘Weighted-Average Governance Score’ is an index weighted average of the Sustainalytics corporate and sovereign Governance Risk Scores of index constituents. The lowest score possible (best) is 0. This metric is a consolidated score including any corporate and sovereign bonds. </v>
          </cell>
          <cell r="AW4" t="str">
            <v>The metric tons of scope 1, 2, and 3 greenhouse gas emissions (tCO2e) per USD 1 million of revenue, using company revenue as the apportionment factor.</v>
          </cell>
          <cell r="BC4" t="str">
            <v>The metric tons of greenhouse gas emissions (tCO2e) apportioned to the index per EUR 1 million invested using Gross Domestic Product (GDP) as the apportionment factor.</v>
          </cell>
        </row>
        <row r="5">
          <cell r="AR5" t="str">
            <v xml:space="preserve">The ‘Weighted-Average ESG Score’ is an index weighted average of the MSCI industry-adjusted and government-adjusted ESG Scores of index constituents. Score range between 0 (worst) and 10 (best). This metric is a consolidated score including any corporate and sovereign bonds. </v>
          </cell>
          <cell r="AS5" t="str">
            <v xml:space="preserve">The ‘Weighted-Average Environmental Score’ is an index weighted average of the MSCI industry-adjusted and government-adjusted Environmental Scores of index constituents. Score range between 0 (worst) and 10 (best). This metric is a consolidated score including any corporate and sovereign bonds. </v>
          </cell>
          <cell r="AT5" t="str">
            <v xml:space="preserve">The ‘Weighted-Average Social Score’ is an index weighted average of the MSCI industry-adjusted and government-adjusted Social Scores of index constituents. Score range between 0 (worst) and 10 (best). This metric is a consolidated score including any corporate and sovereign bonds. </v>
          </cell>
          <cell r="AU5" t="str">
            <v xml:space="preserve">The ‘Weighted-Average Governance Score’ is an index weighted average of the MSCI industry-adjusted and government-adjusted Governance Scores of index constituents. Score range between 0 (worst) and 10 (best). This metric is a consolidated score including any corporate and sovereign bonds. </v>
          </cell>
          <cell r="AW5" t="str">
            <v>The metric tons of scope 1, 2, and 3 greenhouse gas emissions (tCO2e) per EUR 1 million of revenue, using company revenue as the apportionment factor.</v>
          </cell>
          <cell r="BC5" t="str">
            <v>The metric tons of greenhouse gas emissions (tCO2e) apportioned to the index per USD 1 million invested using Nominal Gross Domestic Product (GDP) as the apportionment factor.</v>
          </cell>
        </row>
      </sheetData>
      <sheetData sheetId="9"/>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spglobal.com/spdji/en/documents/education/faq-spdji-approach-to-the-eu-low-carbon-benchmark-regulation-disclosure-requirements.pdf" TargetMode="External"/><Relationship Id="rId7" Type="http://schemas.openxmlformats.org/officeDocument/2006/relationships/drawing" Target="../drawings/drawing1.xml"/><Relationship Id="rId2" Type="http://schemas.openxmlformats.org/officeDocument/2006/relationships/hyperlink" Target="https://eur-lex.europa.eu/legal-content/EN/TXT/?uri=CELEX:32019R2089" TargetMode="External"/><Relationship Id="rId1" Type="http://schemas.openxmlformats.org/officeDocument/2006/relationships/hyperlink" Target="https://eur-lex.europa.eu/legal-content/EN/TXT/?uri=CELEX:32020R1816" TargetMode="External"/><Relationship Id="rId6" Type="http://schemas.openxmlformats.org/officeDocument/2006/relationships/printerSettings" Target="../printerSettings/printerSettings1.bin"/><Relationship Id="rId5" Type="http://schemas.openxmlformats.org/officeDocument/2006/relationships/hyperlink" Target="https://www.spglobal.com/spdji/en/documents/additional-material/faq-european-union-benchmark-regulation.pdf" TargetMode="External"/><Relationship Id="rId4" Type="http://schemas.openxmlformats.org/officeDocument/2006/relationships/hyperlink" Target="https://www.spglobal.com/spdji/en/documents/education/faq-spdji-eu-low-carbon-benchmark-regulation.pdf"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3.xml.rels><?xml version="1.0" encoding="UTF-8" standalone="yes"?>
<Relationships xmlns="http://schemas.openxmlformats.org/package/2006/relationships"><Relationship Id="rId3" Type="http://schemas.openxmlformats.org/officeDocument/2006/relationships/hyperlink" Target="https://www.spglobal.com/spdji/en/documents/additional-material/spdji-esg-metrics-reference-guide.pdf" TargetMode="External"/><Relationship Id="rId7" Type="http://schemas.openxmlformats.org/officeDocument/2006/relationships/drawing" Target="../drawings/drawing2.xml"/><Relationship Id="rId2" Type="http://schemas.openxmlformats.org/officeDocument/2006/relationships/hyperlink" Target="https://www.spglobal.com/spdji/en/documents/additional-material/spdji-esg-metrics-reference-guide.pdf" TargetMode="External"/><Relationship Id="rId1" Type="http://schemas.openxmlformats.org/officeDocument/2006/relationships/hyperlink" Target="https://www.spglobal.com/spdji/en/documents/additional-material/spdji-esg-metrics-reference-guide.pdf" TargetMode="External"/><Relationship Id="rId6" Type="http://schemas.openxmlformats.org/officeDocument/2006/relationships/printerSettings" Target="../printerSettings/printerSettings2.bin"/><Relationship Id="rId5" Type="http://schemas.openxmlformats.org/officeDocument/2006/relationships/hyperlink" Target="https://portal.s1.spglobal.com/survey/documents/SPG_S1_SFDR_Methodology.pdf" TargetMode="External"/><Relationship Id="rId4" Type="http://schemas.openxmlformats.org/officeDocument/2006/relationships/hyperlink" Target="https://www.spglobal.com/spdji/en/documents/additional-material/spdji-esg-metrics-reference-guide.pdf"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488A27-277E-4D43-A5AB-3C29AAFEAA9E}">
  <sheetPr codeName="Sheet1">
    <pageSetUpPr fitToPage="1"/>
  </sheetPr>
  <dimension ref="A1:Y32"/>
  <sheetViews>
    <sheetView tabSelected="1" zoomScale="90" zoomScaleNormal="90" workbookViewId="0">
      <selection activeCell="Q9" sqref="Q9"/>
    </sheetView>
  </sheetViews>
  <sheetFormatPr defaultColWidth="9.42578125" defaultRowHeight="14.25"/>
  <cols>
    <col min="1" max="1" width="5.5703125" style="51" customWidth="1"/>
    <col min="2" max="4" width="5.42578125" style="51" customWidth="1"/>
    <col min="5" max="5" width="14.42578125" style="51" customWidth="1"/>
    <col min="6" max="6" width="15.5703125" style="51" customWidth="1"/>
    <col min="7" max="7" width="13.42578125" style="51" customWidth="1"/>
    <col min="8" max="8" width="1.5703125" style="51" customWidth="1"/>
    <col min="9" max="9" width="42.42578125" style="51" customWidth="1"/>
    <col min="10" max="10" width="1.42578125" style="51" customWidth="1"/>
    <col min="11" max="11" width="42.42578125" style="51" customWidth="1"/>
    <col min="12" max="12" width="2.5703125" style="51" customWidth="1"/>
    <col min="13" max="13" width="20.5703125" style="51" customWidth="1"/>
    <col min="14" max="14" width="5.5703125" style="51" customWidth="1"/>
    <col min="15" max="15" width="35.5703125" style="51" customWidth="1"/>
    <col min="16" max="16" width="2.5703125" style="51" customWidth="1"/>
    <col min="17" max="17" width="14.42578125" style="51" customWidth="1"/>
    <col min="18" max="18" width="2.5703125" style="51" customWidth="1"/>
    <col min="19" max="19" width="11.42578125" style="51" customWidth="1"/>
    <col min="20" max="20" width="2.5703125" style="51" customWidth="1"/>
    <col min="21" max="23" width="16.42578125" style="51" customWidth="1"/>
    <col min="24" max="24" width="5.5703125" style="51" customWidth="1"/>
    <col min="25" max="25" width="9.42578125" style="51"/>
    <col min="26" max="26" width="14" style="51" customWidth="1"/>
    <col min="27" max="27" width="22.5703125" style="51" customWidth="1"/>
    <col min="28" max="28" width="16.42578125" style="51" customWidth="1"/>
    <col min="29" max="29" width="9.42578125" style="51"/>
    <col min="30" max="30" width="13" style="51" customWidth="1"/>
    <col min="31" max="31" width="9.42578125" style="51"/>
    <col min="32" max="32" width="11" style="51" customWidth="1"/>
    <col min="33" max="16384" width="9.42578125" style="51"/>
  </cols>
  <sheetData>
    <row r="1" spans="1:24" ht="75" customHeight="1">
      <c r="A1" s="50"/>
      <c r="B1" s="50"/>
      <c r="C1" s="50"/>
      <c r="D1" s="50"/>
      <c r="E1" s="50"/>
      <c r="F1" s="50"/>
      <c r="G1" s="50"/>
      <c r="H1" s="50"/>
      <c r="I1" s="50"/>
      <c r="J1" s="50"/>
      <c r="K1" s="50"/>
      <c r="L1" s="50"/>
      <c r="M1" s="50"/>
      <c r="N1" s="50"/>
      <c r="O1" s="50"/>
      <c r="P1" s="50"/>
      <c r="Q1" s="50"/>
      <c r="R1" s="50"/>
      <c r="S1" s="50"/>
      <c r="T1" s="50"/>
      <c r="U1" s="50"/>
      <c r="V1" s="50"/>
      <c r="W1" s="50"/>
      <c r="X1" s="50"/>
    </row>
    <row r="2" spans="1:24" ht="15" customHeight="1">
      <c r="A2" s="92"/>
      <c r="B2" s="92"/>
      <c r="C2" s="92"/>
      <c r="D2" s="92"/>
      <c r="E2" s="92"/>
      <c r="F2" s="92"/>
      <c r="G2" s="92"/>
      <c r="H2" s="92"/>
      <c r="I2" s="92"/>
      <c r="J2" s="92"/>
      <c r="K2" s="92"/>
      <c r="L2" s="92"/>
      <c r="M2" s="92"/>
      <c r="N2" s="92"/>
      <c r="O2" s="92"/>
      <c r="P2" s="92"/>
      <c r="Q2" s="92"/>
      <c r="R2" s="92"/>
      <c r="S2" s="92"/>
      <c r="T2" s="92"/>
      <c r="U2" s="92"/>
      <c r="V2" s="92"/>
      <c r="W2" s="92"/>
      <c r="X2" s="92"/>
    </row>
    <row r="3" spans="1:24" ht="30.75" customHeight="1">
      <c r="A3" s="92"/>
      <c r="B3" s="76" t="s">
        <v>0</v>
      </c>
      <c r="C3" s="16"/>
      <c r="D3" s="16"/>
      <c r="E3" s="92"/>
      <c r="F3" s="92"/>
      <c r="G3" s="92"/>
      <c r="H3" s="92"/>
      <c r="I3" s="92"/>
      <c r="J3" s="92"/>
      <c r="K3" s="92"/>
      <c r="L3" s="92"/>
      <c r="M3" s="92"/>
      <c r="N3" s="92"/>
      <c r="O3" s="92"/>
      <c r="P3" s="92"/>
      <c r="Q3" s="92"/>
      <c r="R3" s="92"/>
      <c r="S3" s="92"/>
      <c r="T3" s="92"/>
      <c r="U3" s="92"/>
      <c r="V3" s="92"/>
      <c r="W3" s="17" t="s">
        <v>1</v>
      </c>
      <c r="X3" s="92"/>
    </row>
    <row r="4" spans="1:24" ht="15" customHeight="1">
      <c r="A4" s="92"/>
      <c r="B4" s="16"/>
      <c r="C4" s="16"/>
      <c r="D4" s="16"/>
      <c r="E4" s="92"/>
      <c r="F4" s="92"/>
      <c r="G4" s="92"/>
      <c r="H4" s="92"/>
      <c r="I4" s="92"/>
      <c r="J4" s="92"/>
      <c r="K4" s="92"/>
      <c r="L4" s="92"/>
      <c r="M4" s="92"/>
      <c r="N4" s="92"/>
      <c r="O4" s="92"/>
      <c r="P4" s="92"/>
      <c r="Q4" s="92"/>
      <c r="R4" s="92"/>
      <c r="S4" s="92"/>
      <c r="T4" s="92"/>
      <c r="U4" s="92"/>
      <c r="V4" s="92"/>
      <c r="W4" s="17"/>
      <c r="X4" s="92"/>
    </row>
    <row r="5" spans="1:24" ht="15" customHeight="1">
      <c r="A5" s="92"/>
      <c r="B5" s="16"/>
      <c r="C5" s="16"/>
      <c r="D5" s="16"/>
      <c r="E5" s="92"/>
      <c r="F5" s="92"/>
      <c r="G5" s="92"/>
      <c r="H5" s="92"/>
      <c r="I5" s="92"/>
      <c r="J5" s="92"/>
      <c r="K5" s="92"/>
      <c r="L5" s="92"/>
      <c r="M5" s="92"/>
      <c r="N5" s="92"/>
      <c r="O5" s="92"/>
      <c r="P5" s="92"/>
      <c r="Q5" s="92"/>
      <c r="R5" s="92"/>
      <c r="S5" s="92"/>
      <c r="T5" s="92"/>
      <c r="U5" s="92"/>
      <c r="V5" s="92"/>
      <c r="W5" s="17"/>
      <c r="X5" s="92"/>
    </row>
    <row r="6" spans="1:24" ht="48" customHeight="1">
      <c r="A6" s="92"/>
      <c r="B6" s="331" t="s">
        <v>2</v>
      </c>
      <c r="C6" s="331"/>
      <c r="D6" s="331"/>
      <c r="E6" s="331"/>
      <c r="F6" s="331"/>
      <c r="G6" s="331"/>
      <c r="H6" s="331"/>
      <c r="I6" s="331"/>
      <c r="J6" s="331"/>
      <c r="K6" s="331"/>
      <c r="L6" s="331"/>
      <c r="M6" s="331"/>
      <c r="N6" s="331"/>
      <c r="O6" s="92"/>
      <c r="P6" s="92"/>
      <c r="Q6" s="92"/>
      <c r="R6" s="92"/>
      <c r="S6" s="92"/>
      <c r="T6" s="92"/>
      <c r="U6" s="92"/>
      <c r="V6" s="92"/>
      <c r="W6" s="92"/>
      <c r="X6" s="92"/>
    </row>
    <row r="7" spans="1:24" ht="5.25" customHeight="1">
      <c r="A7" s="92"/>
      <c r="B7" s="3"/>
      <c r="C7" s="3"/>
      <c r="D7" s="3"/>
      <c r="E7" s="92"/>
      <c r="F7" s="92"/>
      <c r="G7" s="92"/>
      <c r="H7" s="92"/>
      <c r="I7" s="92"/>
      <c r="J7" s="92"/>
      <c r="K7" s="92"/>
      <c r="L7" s="92"/>
      <c r="M7" s="92"/>
      <c r="N7" s="92"/>
      <c r="O7" s="92"/>
      <c r="P7" s="92"/>
      <c r="Q7" s="92"/>
      <c r="R7" s="92"/>
      <c r="S7" s="92"/>
      <c r="T7" s="92"/>
      <c r="U7" s="92"/>
      <c r="V7" s="92"/>
      <c r="W7" s="92"/>
      <c r="X7" s="92"/>
    </row>
    <row r="8" spans="1:24" ht="15" customHeight="1">
      <c r="A8" s="92"/>
      <c r="B8" s="3"/>
      <c r="C8" s="3"/>
      <c r="D8" s="3"/>
      <c r="E8" s="92"/>
      <c r="F8" s="92"/>
      <c r="G8" s="92"/>
      <c r="H8" s="92"/>
      <c r="I8" s="92"/>
      <c r="J8" s="92"/>
      <c r="K8" s="92"/>
      <c r="L8" s="92"/>
      <c r="M8" s="92"/>
      <c r="N8" s="92"/>
      <c r="O8" s="92"/>
      <c r="P8" s="92"/>
      <c r="Q8" s="92"/>
      <c r="R8" s="92"/>
      <c r="S8" s="92"/>
      <c r="T8" s="92"/>
      <c r="U8" s="92"/>
      <c r="V8" s="92"/>
      <c r="W8" s="92"/>
      <c r="X8" s="92"/>
    </row>
    <row r="9" spans="1:24" ht="30.75" customHeight="1">
      <c r="A9" s="92"/>
      <c r="B9" s="8" t="s">
        <v>3</v>
      </c>
      <c r="C9" s="8"/>
      <c r="D9" s="8"/>
      <c r="E9" s="92"/>
      <c r="F9" s="92"/>
      <c r="G9" s="92"/>
      <c r="H9" s="92"/>
      <c r="I9" s="92"/>
      <c r="J9" s="92"/>
      <c r="K9" s="92"/>
      <c r="L9" s="92"/>
      <c r="M9" s="92"/>
      <c r="N9" s="92"/>
      <c r="O9" s="92"/>
      <c r="P9" s="92"/>
      <c r="Q9" s="92"/>
      <c r="R9" s="92"/>
      <c r="S9" s="92"/>
      <c r="T9" s="92"/>
      <c r="U9" s="92"/>
      <c r="V9" s="92"/>
      <c r="W9" s="92"/>
      <c r="X9" s="92"/>
    </row>
    <row r="10" spans="1:24" ht="7.5" customHeight="1">
      <c r="A10" s="92"/>
      <c r="B10" s="8"/>
      <c r="C10" s="8"/>
      <c r="D10" s="8"/>
      <c r="E10" s="92"/>
      <c r="F10" s="92"/>
      <c r="G10" s="92"/>
      <c r="H10" s="92"/>
      <c r="I10" s="92"/>
      <c r="J10" s="92"/>
      <c r="K10" s="92"/>
      <c r="L10" s="92"/>
      <c r="M10" s="92"/>
      <c r="N10" s="92"/>
      <c r="O10" s="92"/>
      <c r="P10" s="92"/>
      <c r="Q10" s="92"/>
      <c r="R10" s="92"/>
      <c r="S10" s="92"/>
      <c r="T10" s="92"/>
      <c r="U10" s="92"/>
      <c r="V10" s="92"/>
      <c r="W10" s="92"/>
      <c r="X10" s="92"/>
    </row>
    <row r="11" spans="1:24" ht="120" customHeight="1">
      <c r="A11" s="92"/>
      <c r="B11" s="332" t="s">
        <v>4</v>
      </c>
      <c r="C11" s="333"/>
      <c r="D11" s="333"/>
      <c r="E11" s="333"/>
      <c r="F11" s="333"/>
      <c r="G11" s="333"/>
      <c r="H11" s="333"/>
      <c r="I11" s="333"/>
      <c r="J11" s="333"/>
      <c r="K11" s="333"/>
      <c r="L11" s="333"/>
      <c r="M11" s="333"/>
      <c r="N11" s="333"/>
      <c r="O11" s="114"/>
      <c r="P11" s="114"/>
      <c r="Q11" s="114"/>
      <c r="R11" s="114"/>
      <c r="S11" s="114"/>
      <c r="T11" s="114"/>
      <c r="U11" s="114"/>
      <c r="V11" s="114"/>
      <c r="W11" s="114"/>
      <c r="X11" s="92"/>
    </row>
    <row r="12" spans="1:24" ht="15" customHeight="1">
      <c r="A12" s="92"/>
      <c r="B12" s="49"/>
      <c r="C12" s="49"/>
      <c r="D12" s="49"/>
      <c r="E12" s="49"/>
      <c r="F12" s="49"/>
      <c r="G12" s="49"/>
      <c r="H12" s="49"/>
      <c r="I12" s="49"/>
      <c r="J12" s="49"/>
      <c r="K12" s="49"/>
      <c r="L12" s="49"/>
      <c r="M12" s="49"/>
      <c r="N12" s="49"/>
      <c r="O12" s="114"/>
      <c r="P12" s="114"/>
      <c r="Q12" s="114"/>
      <c r="R12" s="114"/>
      <c r="S12" s="114"/>
      <c r="T12" s="114"/>
      <c r="U12" s="114"/>
      <c r="V12" s="114"/>
      <c r="W12" s="114"/>
      <c r="X12" s="92"/>
    </row>
    <row r="13" spans="1:24" ht="7.5" customHeight="1">
      <c r="A13" s="92"/>
      <c r="B13" s="41"/>
      <c r="C13" s="41"/>
      <c r="D13" s="41"/>
      <c r="E13" s="41"/>
      <c r="F13" s="41"/>
      <c r="G13" s="41"/>
      <c r="H13" s="41"/>
      <c r="I13" s="41"/>
      <c r="J13" s="41"/>
      <c r="K13" s="41"/>
      <c r="L13" s="41"/>
      <c r="M13" s="41"/>
      <c r="N13" s="92"/>
      <c r="O13" s="92"/>
      <c r="P13" s="92"/>
      <c r="Q13" s="92"/>
      <c r="R13" s="92"/>
      <c r="S13" s="92"/>
      <c r="T13" s="92"/>
      <c r="U13" s="92"/>
      <c r="V13" s="92"/>
      <c r="W13" s="92"/>
      <c r="X13" s="92"/>
    </row>
    <row r="14" spans="1:24" ht="132" customHeight="1">
      <c r="A14" s="92"/>
      <c r="B14" s="41"/>
      <c r="C14" s="334" t="s">
        <v>5</v>
      </c>
      <c r="D14" s="335"/>
      <c r="E14" s="335"/>
      <c r="F14" s="335"/>
      <c r="G14" s="335"/>
      <c r="H14" s="335"/>
      <c r="I14" s="335"/>
      <c r="J14" s="335"/>
      <c r="K14" s="335"/>
      <c r="L14" s="335"/>
      <c r="M14" s="336"/>
      <c r="N14" s="92"/>
      <c r="O14" s="92"/>
      <c r="P14" s="92"/>
      <c r="Q14" s="92"/>
      <c r="R14" s="92"/>
      <c r="S14" s="92"/>
      <c r="T14" s="92"/>
      <c r="U14" s="92"/>
      <c r="V14" s="92"/>
      <c r="W14" s="92"/>
      <c r="X14" s="92"/>
    </row>
    <row r="15" spans="1:24" ht="7.35" customHeight="1">
      <c r="A15" s="92"/>
      <c r="B15" s="41"/>
      <c r="C15" s="42"/>
      <c r="D15" s="43"/>
      <c r="E15" s="43"/>
      <c r="F15" s="43"/>
      <c r="G15" s="43"/>
      <c r="H15" s="43"/>
      <c r="I15" s="43"/>
      <c r="J15" s="43"/>
      <c r="K15" s="43"/>
      <c r="L15" s="43"/>
      <c r="M15" s="44"/>
      <c r="N15" s="92"/>
      <c r="O15" s="92"/>
      <c r="P15" s="92"/>
      <c r="Q15" s="92"/>
      <c r="R15" s="92"/>
      <c r="S15" s="92"/>
      <c r="T15" s="92"/>
      <c r="U15" s="92"/>
      <c r="V15" s="92"/>
      <c r="W15" s="92"/>
      <c r="X15" s="92"/>
    </row>
    <row r="16" spans="1:24" ht="45" customHeight="1">
      <c r="A16" s="92"/>
      <c r="B16" s="45"/>
      <c r="C16" s="338" t="s">
        <v>6</v>
      </c>
      <c r="D16" s="339"/>
      <c r="E16" s="339"/>
      <c r="F16" s="339"/>
      <c r="G16" s="339"/>
      <c r="H16" s="339"/>
      <c r="I16" s="339"/>
      <c r="J16" s="339"/>
      <c r="K16" s="339"/>
      <c r="L16" s="339"/>
      <c r="M16" s="340"/>
      <c r="N16" s="92"/>
      <c r="O16" s="92"/>
      <c r="P16" s="92"/>
      <c r="Q16" s="92"/>
      <c r="R16" s="92"/>
      <c r="S16" s="92"/>
      <c r="T16" s="92"/>
      <c r="U16" s="92"/>
      <c r="V16" s="92"/>
      <c r="W16" s="92"/>
      <c r="X16" s="92"/>
    </row>
    <row r="17" spans="1:25" ht="6" customHeight="1">
      <c r="A17" s="92"/>
      <c r="B17" s="92"/>
      <c r="C17" s="92"/>
      <c r="D17" s="92"/>
      <c r="E17" s="92"/>
      <c r="F17" s="92"/>
      <c r="G17" s="92"/>
      <c r="H17" s="92"/>
      <c r="I17" s="92"/>
      <c r="J17" s="92"/>
      <c r="K17" s="92"/>
      <c r="L17" s="92"/>
      <c r="M17" s="92"/>
      <c r="N17" s="92"/>
      <c r="O17" s="92"/>
      <c r="P17" s="92"/>
      <c r="Q17" s="92"/>
      <c r="R17" s="92"/>
      <c r="S17" s="92"/>
      <c r="T17" s="92"/>
      <c r="U17" s="92"/>
      <c r="V17" s="92"/>
      <c r="W17" s="92"/>
      <c r="X17" s="92"/>
      <c r="Y17" s="116"/>
    </row>
    <row r="18" spans="1:25" ht="15" customHeight="1">
      <c r="A18" s="92"/>
      <c r="B18" s="92"/>
      <c r="C18" s="92"/>
      <c r="D18" s="92"/>
      <c r="E18" s="92"/>
      <c r="F18" s="92"/>
      <c r="G18" s="92"/>
      <c r="H18" s="92"/>
      <c r="I18" s="92"/>
      <c r="J18" s="92"/>
      <c r="K18" s="92"/>
      <c r="L18" s="92"/>
      <c r="M18" s="92"/>
      <c r="N18" s="92"/>
      <c r="O18" s="92"/>
      <c r="P18" s="92"/>
      <c r="Q18" s="92"/>
      <c r="R18" s="92"/>
      <c r="S18" s="92"/>
      <c r="T18" s="92"/>
      <c r="U18" s="92"/>
      <c r="V18" s="92"/>
      <c r="W18" s="92"/>
      <c r="X18" s="92"/>
      <c r="Y18" s="116"/>
    </row>
    <row r="19" spans="1:25" ht="15" customHeight="1">
      <c r="A19" s="92"/>
      <c r="B19" s="92"/>
      <c r="C19" s="92"/>
      <c r="D19" s="92"/>
      <c r="E19" s="92"/>
      <c r="F19" s="92"/>
      <c r="G19" s="92"/>
      <c r="H19" s="92"/>
      <c r="I19" s="92"/>
      <c r="J19" s="92"/>
      <c r="K19" s="92"/>
      <c r="L19" s="92"/>
      <c r="M19" s="92"/>
      <c r="N19" s="92"/>
      <c r="O19" s="92"/>
      <c r="P19" s="92"/>
      <c r="Q19" s="92"/>
      <c r="R19" s="92"/>
      <c r="S19" s="92"/>
      <c r="T19" s="92"/>
      <c r="U19" s="92"/>
      <c r="V19" s="92"/>
      <c r="W19" s="92"/>
      <c r="X19" s="92"/>
      <c r="Y19" s="116"/>
    </row>
    <row r="20" spans="1:25" ht="15" customHeight="1">
      <c r="A20" s="92"/>
      <c r="B20" s="337" t="s">
        <v>7</v>
      </c>
      <c r="C20" s="337"/>
      <c r="D20" s="337"/>
      <c r="E20" s="337"/>
      <c r="F20" s="337"/>
      <c r="G20" s="337"/>
      <c r="H20" s="337"/>
      <c r="I20" s="337"/>
      <c r="J20" s="337"/>
      <c r="K20" s="337"/>
      <c r="L20" s="337"/>
      <c r="M20" s="337"/>
      <c r="N20" s="92"/>
      <c r="O20" s="92"/>
      <c r="P20" s="92"/>
      <c r="Q20" s="92"/>
      <c r="R20" s="92"/>
      <c r="S20" s="92"/>
      <c r="T20" s="92"/>
      <c r="U20" s="92"/>
      <c r="V20" s="92"/>
      <c r="W20" s="92"/>
      <c r="X20" s="92"/>
      <c r="Y20" s="116"/>
    </row>
    <row r="21" spans="1:25" ht="12" customHeight="1">
      <c r="A21" s="92"/>
      <c r="B21" s="52"/>
      <c r="C21" s="52"/>
      <c r="D21" s="52"/>
      <c r="E21" s="52"/>
      <c r="F21" s="52"/>
      <c r="G21" s="52"/>
      <c r="H21" s="52"/>
      <c r="I21" s="52"/>
      <c r="J21" s="52"/>
      <c r="K21" s="52"/>
      <c r="L21" s="52"/>
      <c r="M21" s="52"/>
      <c r="N21" s="92"/>
      <c r="O21" s="92"/>
      <c r="P21" s="92"/>
      <c r="Q21" s="92"/>
      <c r="R21" s="92"/>
      <c r="S21" s="92"/>
      <c r="T21" s="92"/>
      <c r="U21" s="92"/>
      <c r="V21" s="92"/>
      <c r="W21" s="92"/>
      <c r="X21" s="92"/>
      <c r="Y21" s="116"/>
    </row>
    <row r="22" spans="1:25" s="54" customFormat="1" ht="49.5" customHeight="1">
      <c r="A22" s="115"/>
      <c r="B22" s="53"/>
      <c r="C22" s="53"/>
      <c r="D22" s="53"/>
      <c r="E22" s="330" t="s">
        <v>8</v>
      </c>
      <c r="F22" s="330"/>
      <c r="G22" s="330"/>
      <c r="H22" s="330"/>
      <c r="I22" s="330"/>
      <c r="J22" s="330"/>
      <c r="K22" s="330"/>
      <c r="L22" s="330"/>
      <c r="M22" s="330"/>
      <c r="N22" s="115"/>
      <c r="O22" s="115"/>
      <c r="P22" s="115"/>
      <c r="Q22" s="115"/>
      <c r="R22" s="115"/>
      <c r="S22" s="115"/>
      <c r="T22" s="115"/>
      <c r="U22" s="115"/>
      <c r="V22" s="115"/>
      <c r="W22" s="115"/>
      <c r="X22" s="115"/>
      <c r="Y22" s="147"/>
    </row>
    <row r="23" spans="1:25" ht="5.25" customHeight="1">
      <c r="A23" s="92"/>
      <c r="B23" s="337"/>
      <c r="C23" s="337"/>
      <c r="D23" s="337"/>
      <c r="E23" s="337"/>
      <c r="F23" s="337"/>
      <c r="G23" s="337"/>
      <c r="H23" s="337"/>
      <c r="I23" s="337"/>
      <c r="J23" s="337"/>
      <c r="K23" s="337"/>
      <c r="L23" s="337"/>
      <c r="M23" s="337"/>
      <c r="N23" s="92"/>
      <c r="O23" s="92"/>
      <c r="P23" s="92"/>
      <c r="Q23" s="92"/>
      <c r="R23" s="92"/>
      <c r="S23" s="92"/>
      <c r="T23" s="92"/>
      <c r="U23" s="92"/>
      <c r="V23" s="92"/>
      <c r="W23" s="92"/>
      <c r="X23" s="92"/>
      <c r="Y23" s="116"/>
    </row>
    <row r="24" spans="1:25" s="54" customFormat="1" ht="76.5" customHeight="1">
      <c r="A24" s="115"/>
      <c r="B24" s="55"/>
      <c r="C24" s="55"/>
      <c r="D24" s="55"/>
      <c r="E24" s="330" t="s">
        <v>9</v>
      </c>
      <c r="F24" s="330"/>
      <c r="G24" s="330"/>
      <c r="H24" s="330"/>
      <c r="I24" s="330"/>
      <c r="J24" s="330"/>
      <c r="K24" s="330"/>
      <c r="L24" s="330"/>
      <c r="M24" s="330"/>
      <c r="N24" s="115"/>
      <c r="O24" s="115"/>
      <c r="P24" s="115"/>
      <c r="Q24" s="115"/>
      <c r="R24" s="115"/>
      <c r="S24" s="115"/>
      <c r="T24" s="115"/>
      <c r="U24" s="115"/>
      <c r="V24" s="115"/>
      <c r="W24" s="115"/>
      <c r="X24" s="115"/>
      <c r="Y24" s="147"/>
    </row>
    <row r="25" spans="1:25" ht="5.25" customHeight="1">
      <c r="A25" s="92"/>
      <c r="B25" s="92"/>
      <c r="C25" s="92"/>
      <c r="D25" s="92"/>
      <c r="E25" s="92"/>
      <c r="F25" s="92"/>
      <c r="G25" s="92"/>
      <c r="H25" s="92"/>
      <c r="I25" s="92"/>
      <c r="J25" s="92"/>
      <c r="K25" s="92"/>
      <c r="L25" s="92"/>
      <c r="M25" s="92"/>
      <c r="N25" s="92"/>
      <c r="O25" s="92"/>
      <c r="P25" s="92"/>
      <c r="Q25" s="92"/>
      <c r="R25" s="92"/>
      <c r="S25" s="92"/>
      <c r="T25" s="92"/>
      <c r="U25" s="92"/>
      <c r="V25" s="92"/>
      <c r="W25" s="92"/>
      <c r="X25" s="92"/>
      <c r="Y25" s="116"/>
    </row>
    <row r="26" spans="1:25" ht="15" customHeight="1">
      <c r="A26" s="92"/>
      <c r="B26" s="92"/>
      <c r="C26" s="92"/>
      <c r="D26" s="92"/>
      <c r="E26" s="92"/>
      <c r="F26" s="92"/>
      <c r="G26" s="92"/>
      <c r="H26" s="92"/>
      <c r="I26" s="92"/>
      <c r="J26" s="92"/>
      <c r="K26" s="92"/>
      <c r="L26" s="92"/>
      <c r="M26" s="92"/>
      <c r="N26" s="92"/>
      <c r="O26" s="92"/>
      <c r="P26" s="92"/>
      <c r="Q26" s="92"/>
      <c r="R26" s="92"/>
      <c r="S26" s="92"/>
      <c r="T26" s="92"/>
      <c r="U26" s="92"/>
      <c r="V26" s="92"/>
      <c r="W26" s="92"/>
      <c r="X26" s="92"/>
      <c r="Y26" s="116"/>
    </row>
    <row r="27" spans="1:25" ht="15" customHeight="1">
      <c r="A27" s="92"/>
      <c r="B27" s="92"/>
      <c r="C27" s="92"/>
      <c r="D27" s="92"/>
      <c r="E27" s="92"/>
      <c r="F27" s="92"/>
      <c r="G27" s="92"/>
      <c r="H27" s="92"/>
      <c r="I27" s="92"/>
      <c r="J27" s="92"/>
      <c r="K27" s="92"/>
      <c r="L27" s="92"/>
      <c r="M27" s="92"/>
      <c r="N27" s="92"/>
      <c r="O27" s="92"/>
      <c r="P27" s="92"/>
      <c r="Q27" s="92"/>
      <c r="R27" s="92"/>
      <c r="S27" s="92"/>
      <c r="T27" s="92"/>
      <c r="U27" s="92"/>
      <c r="V27" s="92"/>
      <c r="W27" s="92"/>
      <c r="X27" s="92"/>
      <c r="Y27" s="116"/>
    </row>
    <row r="28" spans="1:25" ht="15" customHeight="1">
      <c r="A28" s="92"/>
      <c r="B28" s="92"/>
      <c r="C28" s="92"/>
      <c r="D28" s="92"/>
      <c r="E28" s="92"/>
      <c r="F28" s="92"/>
      <c r="G28" s="92"/>
      <c r="H28" s="92"/>
      <c r="I28" s="92"/>
      <c r="J28" s="92"/>
      <c r="K28" s="92"/>
      <c r="L28" s="92"/>
      <c r="M28" s="92"/>
      <c r="N28" s="92"/>
      <c r="O28" s="92"/>
      <c r="P28" s="92"/>
      <c r="Q28" s="92"/>
      <c r="R28" s="92"/>
      <c r="S28" s="92"/>
      <c r="T28" s="92"/>
      <c r="U28" s="92"/>
      <c r="V28" s="92"/>
      <c r="W28" s="92"/>
      <c r="X28" s="92"/>
      <c r="Y28" s="116"/>
    </row>
    <row r="29" spans="1:25" ht="21" customHeight="1">
      <c r="A29" s="92"/>
      <c r="B29" s="46">
        <v>1</v>
      </c>
      <c r="C29" s="47" t="s">
        <v>10</v>
      </c>
      <c r="D29" s="92"/>
      <c r="E29" s="92"/>
      <c r="F29" s="92"/>
      <c r="G29" s="92"/>
      <c r="H29" s="92"/>
      <c r="I29" s="92"/>
      <c r="J29" s="92"/>
      <c r="K29" s="92"/>
      <c r="L29" s="92"/>
      <c r="M29" s="92"/>
      <c r="N29" s="92"/>
      <c r="O29" s="92"/>
      <c r="P29" s="92"/>
      <c r="Q29" s="92"/>
      <c r="R29" s="92"/>
      <c r="S29" s="92"/>
      <c r="T29" s="92"/>
      <c r="U29" s="92"/>
      <c r="V29" s="92"/>
      <c r="W29" s="92"/>
      <c r="X29" s="92"/>
      <c r="Y29" s="116"/>
    </row>
    <row r="30" spans="1:25" s="56" customFormat="1" ht="21" customHeight="1">
      <c r="A30" s="93"/>
      <c r="B30" s="46">
        <v>2</v>
      </c>
      <c r="C30" s="47" t="s">
        <v>11</v>
      </c>
      <c r="D30" s="92"/>
      <c r="E30" s="92"/>
      <c r="F30" s="92"/>
      <c r="G30" s="92"/>
      <c r="H30" s="92"/>
      <c r="I30" s="92"/>
      <c r="J30" s="92"/>
      <c r="K30" s="92"/>
      <c r="L30" s="92"/>
      <c r="M30" s="92"/>
      <c r="N30" s="92"/>
      <c r="O30" s="92"/>
      <c r="P30" s="92"/>
      <c r="Q30" s="92"/>
      <c r="R30" s="92"/>
      <c r="S30" s="92"/>
      <c r="T30" s="92"/>
      <c r="U30" s="92"/>
      <c r="V30" s="92"/>
      <c r="W30" s="92"/>
      <c r="X30" s="93"/>
      <c r="Y30" s="116"/>
    </row>
    <row r="31" spans="1:25" s="56" customFormat="1" ht="21" customHeight="1">
      <c r="A31" s="93"/>
      <c r="B31" s="46"/>
      <c r="C31" s="47"/>
      <c r="D31" s="92"/>
      <c r="E31" s="92"/>
      <c r="F31" s="92"/>
      <c r="G31" s="92"/>
      <c r="H31" s="92"/>
      <c r="I31" s="92"/>
      <c r="J31" s="92"/>
      <c r="K31" s="92"/>
      <c r="L31" s="92"/>
      <c r="M31" s="92"/>
      <c r="N31" s="92"/>
      <c r="O31" s="92"/>
      <c r="P31" s="92"/>
      <c r="Q31" s="92"/>
      <c r="R31" s="92"/>
      <c r="S31" s="92"/>
      <c r="T31" s="92"/>
      <c r="U31" s="92"/>
      <c r="V31" s="92"/>
      <c r="W31" s="92"/>
      <c r="X31" s="93"/>
      <c r="Y31" s="116"/>
    </row>
    <row r="32" spans="1:25" s="56" customFormat="1" ht="7.5" customHeight="1">
      <c r="A32" s="93"/>
      <c r="B32" s="92"/>
      <c r="C32" s="92"/>
      <c r="D32" s="92"/>
      <c r="E32" s="92"/>
      <c r="F32" s="92"/>
      <c r="G32" s="92"/>
      <c r="H32" s="92"/>
      <c r="I32" s="92"/>
      <c r="J32" s="92"/>
      <c r="K32" s="92"/>
      <c r="L32" s="92"/>
      <c r="M32" s="92"/>
      <c r="N32" s="92"/>
      <c r="O32" s="92"/>
      <c r="P32" s="92"/>
      <c r="Q32" s="92"/>
      <c r="R32" s="92"/>
      <c r="S32" s="92"/>
      <c r="T32" s="92"/>
      <c r="U32" s="92"/>
      <c r="V32" s="92"/>
      <c r="W32" s="92"/>
      <c r="X32" s="93"/>
      <c r="Y32" s="116"/>
    </row>
  </sheetData>
  <sheetProtection algorithmName="SHA-512" hashValue="X7YG0Gpjz5WdkwOymYDXFsSphUsthLbyTHsqanDy/ZU+aEWMgwgsT+AEZaf9borsVEurTa8Kgq7ZxOSfyCFiow==" saltValue="I60Ri4HEiV9bXiPaLfuOSQ==" spinCount="100000" sheet="1" objects="1" scenarios="1"/>
  <mergeCells count="8">
    <mergeCell ref="E24:M24"/>
    <mergeCell ref="E22:M22"/>
    <mergeCell ref="B6:N6"/>
    <mergeCell ref="B11:N11"/>
    <mergeCell ref="C14:M14"/>
    <mergeCell ref="B20:M20"/>
    <mergeCell ref="B23:M23"/>
    <mergeCell ref="C16:M16"/>
  </mergeCells>
  <hyperlinks>
    <hyperlink ref="C29" r:id="rId1" xr:uid="{7707DFDD-FDA5-4721-974B-5216EC29C4D5}"/>
    <hyperlink ref="C30" r:id="rId2" xr:uid="{DCAE3175-65EA-4C0A-B542-9DC479DEC4AD}"/>
    <hyperlink ref="E24" r:id="rId3" xr:uid="{2EA2E719-0DEB-4348-B384-2895CCAFCEDB}"/>
    <hyperlink ref="E22:M22" r:id="rId4" display="Frequently Asked Questions: EU Low Carbon Benchmark Regulation" xr:uid="{CD904F9B-7B61-4F8D-8389-2752B9A0DCF4}"/>
    <hyperlink ref="E24:M24" r:id="rId5" display="Frequently Asked Questions S&amp;P DJI’s Approach to the EU Low Carbon Benchmark Regulation Disclosure Requirements" xr:uid="{BE6B6749-6B70-4C15-8E08-AA15DBBD7A47}"/>
  </hyperlinks>
  <printOptions gridLines="1"/>
  <pageMargins left="0" right="0" top="0" bottom="0" header="0" footer="0"/>
  <pageSetup scale="43" fitToHeight="0" orientation="landscape" r:id="rId6"/>
  <drawing r:id="rId7"/>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DE7B00-F89F-4945-93B9-816534CCC86A}">
  <sheetPr>
    <tabColor theme="4" tint="-0.249977111117893"/>
  </sheetPr>
  <dimension ref="A1:M203"/>
  <sheetViews>
    <sheetView workbookViewId="0">
      <pane ySplit="1" topLeftCell="A2" activePane="bottomLeft" state="frozen"/>
      <selection activeCell="B1" sqref="B1"/>
      <selection pane="bottomLeft" activeCell="I10" sqref="I10"/>
    </sheetView>
  </sheetViews>
  <sheetFormatPr defaultRowHeight="15"/>
  <cols>
    <col min="1" max="1" width="68.5703125" customWidth="1"/>
    <col min="2" max="2" width="30.28515625" customWidth="1"/>
    <col min="3" max="7" width="8.5703125" customWidth="1"/>
    <col min="8" max="8" width="21.5703125" customWidth="1"/>
    <col min="9" max="9" width="33.42578125" customWidth="1"/>
    <col min="10" max="10" width="18.5703125" customWidth="1"/>
    <col min="11" max="11" width="72.5703125" customWidth="1"/>
    <col min="12" max="12" width="29.5703125" customWidth="1"/>
  </cols>
  <sheetData>
    <row r="1" spans="1:13" s="15" customFormat="1" ht="120">
      <c r="A1" s="15" t="s">
        <v>278</v>
      </c>
      <c r="C1" s="15" t="s">
        <v>279</v>
      </c>
      <c r="D1" s="15" t="s">
        <v>280</v>
      </c>
      <c r="E1" s="15" t="s">
        <v>281</v>
      </c>
      <c r="F1" s="15" t="s">
        <v>282</v>
      </c>
      <c r="G1" s="15" t="s">
        <v>278</v>
      </c>
      <c r="H1" s="15" t="s">
        <v>283</v>
      </c>
      <c r="I1" s="15" t="s">
        <v>284</v>
      </c>
      <c r="J1" s="15" t="s">
        <v>285</v>
      </c>
      <c r="K1" s="15" t="s">
        <v>286</v>
      </c>
      <c r="L1" s="15" t="s">
        <v>287</v>
      </c>
      <c r="M1" s="15" t="s">
        <v>288</v>
      </c>
    </row>
    <row r="2" spans="1:13" ht="30">
      <c r="A2" t="s">
        <v>37</v>
      </c>
      <c r="H2" t="s">
        <v>289</v>
      </c>
      <c r="I2" s="15" t="s">
        <v>290</v>
      </c>
      <c r="K2" t="s">
        <v>37</v>
      </c>
      <c r="L2" t="s">
        <v>37</v>
      </c>
      <c r="M2" t="s">
        <v>37</v>
      </c>
    </row>
    <row r="3" spans="1:13" ht="30">
      <c r="A3" t="s">
        <v>275</v>
      </c>
      <c r="H3" t="s">
        <v>289</v>
      </c>
      <c r="I3" s="15" t="s">
        <v>291</v>
      </c>
      <c r="K3" t="s">
        <v>292</v>
      </c>
      <c r="L3" t="s">
        <v>292</v>
      </c>
      <c r="M3" t="s">
        <v>275</v>
      </c>
    </row>
    <row r="4" spans="1:13">
      <c r="K4" t="s">
        <v>293</v>
      </c>
      <c r="L4" t="s">
        <v>293</v>
      </c>
      <c r="M4" s="153" t="s">
        <v>289</v>
      </c>
    </row>
    <row r="68" spans="9:9" ht="15.6" customHeight="1">
      <c r="I68" s="15"/>
    </row>
    <row r="97" spans="13:13">
      <c r="M97" s="153"/>
    </row>
    <row r="98" spans="13:13">
      <c r="M98" s="153"/>
    </row>
    <row r="99" spans="13:13">
      <c r="M99" s="153"/>
    </row>
    <row r="100" spans="13:13">
      <c r="M100" s="153"/>
    </row>
    <row r="101" spans="13:13">
      <c r="M101" s="153"/>
    </row>
    <row r="102" spans="13:13">
      <c r="M102" s="153"/>
    </row>
    <row r="103" spans="13:13">
      <c r="M103" s="153"/>
    </row>
    <row r="104" spans="13:13">
      <c r="M104" s="153"/>
    </row>
    <row r="105" spans="13:13">
      <c r="M105" s="153"/>
    </row>
    <row r="106" spans="13:13">
      <c r="M106" s="153"/>
    </row>
    <row r="107" spans="13:13">
      <c r="M107" s="153"/>
    </row>
    <row r="108" spans="13:13">
      <c r="M108" s="153"/>
    </row>
    <row r="109" spans="13:13">
      <c r="M109" s="153"/>
    </row>
    <row r="110" spans="13:13">
      <c r="M110" s="153"/>
    </row>
    <row r="111" spans="13:13">
      <c r="M111" s="153"/>
    </row>
    <row r="112" spans="13:13">
      <c r="M112" s="153"/>
    </row>
    <row r="113" spans="13:13">
      <c r="M113" s="153"/>
    </row>
    <row r="114" spans="13:13">
      <c r="M114" s="153"/>
    </row>
    <row r="115" spans="13:13">
      <c r="M115" s="153"/>
    </row>
    <row r="116" spans="13:13">
      <c r="M116" s="153"/>
    </row>
    <row r="117" spans="13:13">
      <c r="M117" s="153"/>
    </row>
    <row r="118" spans="13:13">
      <c r="M118" s="153"/>
    </row>
    <row r="119" spans="13:13">
      <c r="M119" s="153"/>
    </row>
    <row r="120" spans="13:13">
      <c r="M120" s="153"/>
    </row>
    <row r="121" spans="13:13">
      <c r="M121" s="153"/>
    </row>
    <row r="122" spans="13:13">
      <c r="M122" s="153"/>
    </row>
    <row r="123" spans="13:13">
      <c r="M123" s="153"/>
    </row>
    <row r="124" spans="13:13">
      <c r="M124" s="153"/>
    </row>
    <row r="125" spans="13:13">
      <c r="M125" s="153"/>
    </row>
    <row r="126" spans="13:13">
      <c r="M126" s="153"/>
    </row>
    <row r="127" spans="13:13">
      <c r="M127" s="153"/>
    </row>
    <row r="128" spans="13:13">
      <c r="M128" s="153"/>
    </row>
    <row r="129" spans="13:13">
      <c r="M129" s="153"/>
    </row>
    <row r="130" spans="13:13">
      <c r="M130" s="153"/>
    </row>
    <row r="131" spans="13:13">
      <c r="M131" s="153"/>
    </row>
    <row r="132" spans="13:13">
      <c r="M132" s="153"/>
    </row>
    <row r="133" spans="13:13">
      <c r="M133" s="153"/>
    </row>
    <row r="134" spans="13:13">
      <c r="M134" s="153"/>
    </row>
    <row r="135" spans="13:13">
      <c r="M135" s="153"/>
    </row>
    <row r="136" spans="13:13">
      <c r="M136" s="153"/>
    </row>
    <row r="137" spans="13:13">
      <c r="M137" s="153"/>
    </row>
    <row r="138" spans="13:13">
      <c r="M138" s="153"/>
    </row>
    <row r="139" spans="13:13">
      <c r="M139" s="153"/>
    </row>
    <row r="140" spans="13:13">
      <c r="M140" s="153"/>
    </row>
    <row r="141" spans="13:13">
      <c r="M141" s="153"/>
    </row>
    <row r="142" spans="13:13">
      <c r="M142" s="153"/>
    </row>
    <row r="143" spans="13:13">
      <c r="M143" s="153"/>
    </row>
    <row r="144" spans="13:13">
      <c r="M144" s="153"/>
    </row>
    <row r="145" spans="13:13">
      <c r="M145" s="153"/>
    </row>
    <row r="146" spans="13:13">
      <c r="M146" s="153"/>
    </row>
    <row r="147" spans="13:13">
      <c r="M147" s="153"/>
    </row>
    <row r="148" spans="13:13">
      <c r="M148" s="153"/>
    </row>
    <row r="149" spans="13:13">
      <c r="M149" s="153"/>
    </row>
    <row r="150" spans="13:13">
      <c r="M150" s="153"/>
    </row>
    <row r="151" spans="13:13">
      <c r="M151" s="153"/>
    </row>
    <row r="152" spans="13:13">
      <c r="M152" s="153"/>
    </row>
    <row r="153" spans="13:13">
      <c r="M153" s="153"/>
    </row>
    <row r="154" spans="13:13">
      <c r="M154" s="153"/>
    </row>
    <row r="155" spans="13:13">
      <c r="M155" s="153"/>
    </row>
    <row r="156" spans="13:13">
      <c r="M156" s="153"/>
    </row>
    <row r="157" spans="13:13">
      <c r="M157" s="153"/>
    </row>
    <row r="158" spans="13:13">
      <c r="M158" s="153"/>
    </row>
    <row r="159" spans="13:13">
      <c r="M159" s="153"/>
    </row>
    <row r="160" spans="13:13">
      <c r="M160" s="153"/>
    </row>
    <row r="161" spans="13:13">
      <c r="M161" s="153"/>
    </row>
    <row r="162" spans="13:13">
      <c r="M162" s="153"/>
    </row>
    <row r="163" spans="13:13">
      <c r="M163" s="153"/>
    </row>
    <row r="164" spans="13:13">
      <c r="M164" s="153"/>
    </row>
    <row r="165" spans="13:13">
      <c r="M165" s="153"/>
    </row>
    <row r="166" spans="13:13">
      <c r="M166" s="153"/>
    </row>
    <row r="167" spans="13:13">
      <c r="M167" s="153"/>
    </row>
    <row r="168" spans="13:13">
      <c r="M168" s="153"/>
    </row>
    <row r="169" spans="13:13">
      <c r="M169" s="153"/>
    </row>
    <row r="170" spans="13:13">
      <c r="M170" s="153"/>
    </row>
    <row r="171" spans="13:13">
      <c r="M171" s="153"/>
    </row>
    <row r="172" spans="13:13">
      <c r="M172" s="153"/>
    </row>
    <row r="173" spans="13:13">
      <c r="M173" s="153"/>
    </row>
    <row r="174" spans="13:13">
      <c r="M174" s="153"/>
    </row>
    <row r="175" spans="13:13">
      <c r="M175" s="153"/>
    </row>
    <row r="176" spans="13:13">
      <c r="M176" s="153"/>
    </row>
    <row r="177" spans="13:13">
      <c r="M177" s="153"/>
    </row>
    <row r="178" spans="13:13">
      <c r="M178" s="153"/>
    </row>
    <row r="179" spans="13:13">
      <c r="M179" s="153"/>
    </row>
    <row r="180" spans="13:13">
      <c r="M180" s="153"/>
    </row>
    <row r="181" spans="13:13">
      <c r="M181" s="153"/>
    </row>
    <row r="182" spans="13:13">
      <c r="M182" s="153"/>
    </row>
    <row r="183" spans="13:13">
      <c r="M183" s="153"/>
    </row>
    <row r="184" spans="13:13">
      <c r="M184" s="153"/>
    </row>
    <row r="185" spans="13:13">
      <c r="M185" s="153"/>
    </row>
    <row r="186" spans="13:13">
      <c r="M186" s="153"/>
    </row>
    <row r="187" spans="13:13">
      <c r="M187" s="153"/>
    </row>
    <row r="188" spans="13:13">
      <c r="M188" s="153"/>
    </row>
    <row r="189" spans="13:13">
      <c r="M189" s="153"/>
    </row>
    <row r="190" spans="13:13">
      <c r="M190" s="153"/>
    </row>
    <row r="191" spans="13:13">
      <c r="M191" s="153"/>
    </row>
    <row r="192" spans="13:13">
      <c r="M192" s="153"/>
    </row>
    <row r="193" spans="13:13">
      <c r="M193" s="153"/>
    </row>
    <row r="194" spans="13:13">
      <c r="M194" s="153"/>
    </row>
    <row r="195" spans="13:13">
      <c r="M195" s="153"/>
    </row>
    <row r="196" spans="13:13">
      <c r="M196" s="153"/>
    </row>
    <row r="197" spans="13:13">
      <c r="M197" s="153"/>
    </row>
    <row r="198" spans="13:13">
      <c r="M198" s="153"/>
    </row>
    <row r="199" spans="13:13">
      <c r="M199" s="153"/>
    </row>
    <row r="200" spans="13:13">
      <c r="M200" s="153"/>
    </row>
    <row r="201" spans="13:13">
      <c r="M201" s="153"/>
    </row>
    <row r="202" spans="13:13">
      <c r="M202" s="153"/>
    </row>
    <row r="203" spans="13:13">
      <c r="M203" s="153"/>
    </row>
  </sheetData>
  <autoFilter ref="A1:M93" xr:uid="{82DE7B00-F89F-4945-93B9-816534CCC86A}"/>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6F8A00-AA3C-437A-A93A-7D0D7BD242C4}">
  <sheetPr>
    <tabColor rgb="FFFFFF00"/>
  </sheetPr>
  <dimension ref="A1:DD5"/>
  <sheetViews>
    <sheetView topLeftCell="F1" workbookViewId="0">
      <pane ySplit="2" topLeftCell="A3" activePane="bottomLeft" state="frozen"/>
      <selection pane="bottomLeft" activeCell="T8" sqref="T8:T10"/>
    </sheetView>
  </sheetViews>
  <sheetFormatPr defaultRowHeight="15"/>
  <cols>
    <col min="1" max="1" width="62.7109375" customWidth="1"/>
    <col min="2" max="2" width="62.140625" customWidth="1"/>
    <col min="3" max="3" width="12.5703125" style="13" customWidth="1"/>
    <col min="4" max="4" width="12.140625" style="13" customWidth="1"/>
    <col min="6" max="6" width="65.85546875" customWidth="1"/>
    <col min="8" max="8" width="12.42578125" style="13" customWidth="1"/>
    <col min="23" max="23" width="9.140625" style="152"/>
    <col min="27" max="27" width="12.28515625" customWidth="1"/>
    <col min="31" max="31" width="12.85546875" customWidth="1"/>
    <col min="32" max="32" width="12.140625" customWidth="1"/>
    <col min="46" max="46" width="10.85546875" customWidth="1"/>
    <col min="47" max="47" width="14" customWidth="1"/>
  </cols>
  <sheetData>
    <row r="1" spans="1:108" s="15" customFormat="1" ht="73.150000000000006" customHeight="1">
      <c r="C1" s="89" t="s">
        <v>294</v>
      </c>
      <c r="D1" s="89" t="s">
        <v>295</v>
      </c>
      <c r="E1" s="15" t="s">
        <v>296</v>
      </c>
      <c r="F1" s="15" t="s">
        <v>297</v>
      </c>
      <c r="G1" s="15" t="s">
        <v>298</v>
      </c>
      <c r="H1" s="89" t="s">
        <v>299</v>
      </c>
      <c r="I1" s="15" t="s">
        <v>300</v>
      </c>
      <c r="J1" s="15" t="s">
        <v>155</v>
      </c>
      <c r="K1" s="15" t="s">
        <v>301</v>
      </c>
      <c r="L1" s="15" t="s">
        <v>302</v>
      </c>
      <c r="M1" s="15" t="s">
        <v>303</v>
      </c>
      <c r="N1" s="15" t="s">
        <v>304</v>
      </c>
      <c r="O1" s="15" t="s">
        <v>305</v>
      </c>
      <c r="P1" s="15" t="s">
        <v>306</v>
      </c>
      <c r="Q1" s="15" t="s">
        <v>307</v>
      </c>
      <c r="R1" s="15" t="s">
        <v>308</v>
      </c>
      <c r="S1" s="15" t="s">
        <v>309</v>
      </c>
      <c r="T1" s="15" t="s">
        <v>310</v>
      </c>
      <c r="U1" s="15" t="s">
        <v>311</v>
      </c>
      <c r="V1" s="15" t="s">
        <v>312</v>
      </c>
      <c r="W1" s="151" t="s">
        <v>313</v>
      </c>
      <c r="X1" s="15" t="s">
        <v>314</v>
      </c>
      <c r="Y1" s="15" t="s">
        <v>315</v>
      </c>
      <c r="Z1" s="15" t="s">
        <v>316</v>
      </c>
      <c r="AA1" s="15" t="s">
        <v>317</v>
      </c>
      <c r="AB1" s="15" t="s">
        <v>318</v>
      </c>
      <c r="AC1" s="15" t="s">
        <v>319</v>
      </c>
      <c r="AD1" s="15" t="s">
        <v>320</v>
      </c>
      <c r="AE1" s="15" t="s">
        <v>321</v>
      </c>
      <c r="AF1" s="15" t="s">
        <v>322</v>
      </c>
      <c r="AG1" s="15" t="s">
        <v>323</v>
      </c>
      <c r="AH1" s="15" t="s">
        <v>324</v>
      </c>
      <c r="AI1" s="15" t="s">
        <v>325</v>
      </c>
      <c r="AJ1" s="15" t="s">
        <v>326</v>
      </c>
      <c r="AK1" s="15" t="s">
        <v>327</v>
      </c>
      <c r="AL1" s="15" t="s">
        <v>328</v>
      </c>
      <c r="AM1" s="15" t="s">
        <v>329</v>
      </c>
      <c r="AN1" s="15" t="s">
        <v>330</v>
      </c>
      <c r="AO1" s="15" t="s">
        <v>331</v>
      </c>
      <c r="AP1" s="15" t="s">
        <v>332</v>
      </c>
      <c r="AQ1" s="15" t="s">
        <v>333</v>
      </c>
      <c r="AR1" s="15" t="s">
        <v>334</v>
      </c>
      <c r="AS1" s="15" t="s">
        <v>335</v>
      </c>
      <c r="AT1" s="15" t="s">
        <v>336</v>
      </c>
      <c r="AU1" s="15" t="s">
        <v>337</v>
      </c>
      <c r="AV1" s="15" t="s">
        <v>338</v>
      </c>
      <c r="AW1" s="15" t="s">
        <v>339</v>
      </c>
      <c r="AX1" s="15" t="s">
        <v>340</v>
      </c>
      <c r="AY1" s="15" t="s">
        <v>341</v>
      </c>
      <c r="AZ1" s="15" t="s">
        <v>342</v>
      </c>
      <c r="BA1" s="15" t="s">
        <v>343</v>
      </c>
      <c r="BB1" s="15" t="s">
        <v>344</v>
      </c>
      <c r="BC1" s="15" t="s">
        <v>345</v>
      </c>
      <c r="BD1" s="15" t="s">
        <v>346</v>
      </c>
      <c r="BE1" s="15" t="s">
        <v>347</v>
      </c>
      <c r="BF1" s="15" t="s">
        <v>348</v>
      </c>
      <c r="BG1" s="15" t="s">
        <v>349</v>
      </c>
      <c r="BH1" s="15" t="s">
        <v>350</v>
      </c>
      <c r="BI1" s="15" t="s">
        <v>351</v>
      </c>
      <c r="BJ1" s="15" t="s">
        <v>352</v>
      </c>
      <c r="BL1" s="15" t="s">
        <v>353</v>
      </c>
      <c r="BM1" s="15" t="s">
        <v>354</v>
      </c>
      <c r="BN1" s="15" t="s">
        <v>355</v>
      </c>
      <c r="BO1" s="15" t="s">
        <v>356</v>
      </c>
      <c r="BP1" s="15" t="s">
        <v>357</v>
      </c>
      <c r="BQ1" s="15" t="s">
        <v>358</v>
      </c>
      <c r="BR1" s="15" t="s">
        <v>359</v>
      </c>
      <c r="BS1" s="15" t="s">
        <v>360</v>
      </c>
      <c r="BT1" s="15" t="s">
        <v>361</v>
      </c>
      <c r="BU1" s="15" t="s">
        <v>362</v>
      </c>
      <c r="BV1" s="15" t="s">
        <v>363</v>
      </c>
      <c r="BW1" s="15" t="s">
        <v>364</v>
      </c>
      <c r="BX1" s="15" t="s">
        <v>365</v>
      </c>
      <c r="BY1" s="15" t="s">
        <v>366</v>
      </c>
      <c r="BZ1" s="15" t="s">
        <v>367</v>
      </c>
      <c r="CA1" s="15" t="s">
        <v>368</v>
      </c>
      <c r="CB1" s="15" t="s">
        <v>369</v>
      </c>
      <c r="CC1" s="15" t="s">
        <v>370</v>
      </c>
      <c r="CD1" s="15" t="s">
        <v>371</v>
      </c>
      <c r="CE1" s="15" t="s">
        <v>372</v>
      </c>
      <c r="CF1" s="15" t="s">
        <v>373</v>
      </c>
      <c r="CG1" s="15" t="s">
        <v>374</v>
      </c>
      <c r="CH1" s="15" t="s">
        <v>375</v>
      </c>
      <c r="CI1" s="15" t="s">
        <v>376</v>
      </c>
      <c r="CJ1" s="15" t="s">
        <v>377</v>
      </c>
      <c r="CK1" s="15" t="s">
        <v>378</v>
      </c>
      <c r="CL1" s="15" t="s">
        <v>379</v>
      </c>
      <c r="CM1" s="15" t="s">
        <v>380</v>
      </c>
      <c r="CN1" s="15" t="s">
        <v>381</v>
      </c>
      <c r="CO1" s="15" t="s">
        <v>382</v>
      </c>
      <c r="CP1" s="15" t="s">
        <v>383</v>
      </c>
      <c r="CQ1" s="15" t="s">
        <v>384</v>
      </c>
      <c r="CR1" s="15" t="s">
        <v>385</v>
      </c>
      <c r="CS1" s="15" t="s">
        <v>386</v>
      </c>
      <c r="CT1" s="15" t="s">
        <v>387</v>
      </c>
      <c r="CU1" s="15" t="s">
        <v>388</v>
      </c>
      <c r="CV1" s="15" t="s">
        <v>389</v>
      </c>
      <c r="CW1" s="15" t="s">
        <v>390</v>
      </c>
      <c r="CX1" s="15" t="s">
        <v>391</v>
      </c>
      <c r="CY1" s="15" t="s">
        <v>392</v>
      </c>
      <c r="CZ1" s="15" t="s">
        <v>393</v>
      </c>
      <c r="DA1" s="15" t="s">
        <v>394</v>
      </c>
      <c r="DB1" s="15" t="s">
        <v>395</v>
      </c>
      <c r="DC1" s="15" t="s">
        <v>396</v>
      </c>
      <c r="DD1" s="15" t="s">
        <v>397</v>
      </c>
    </row>
    <row r="2" spans="1:108" s="15" customFormat="1" ht="46.5" customHeight="1">
      <c r="B2" s="15" t="s">
        <v>398</v>
      </c>
      <c r="C2" s="89"/>
      <c r="D2" s="89"/>
      <c r="H2" s="89"/>
      <c r="J2" s="15" t="s">
        <v>399</v>
      </c>
      <c r="K2" s="15" t="s">
        <v>400</v>
      </c>
      <c r="L2" s="15" t="s">
        <v>401</v>
      </c>
      <c r="M2" s="15" t="s">
        <v>402</v>
      </c>
      <c r="N2" s="15" t="s">
        <v>403</v>
      </c>
      <c r="O2" s="15" t="s">
        <v>404</v>
      </c>
      <c r="P2" s="15" t="s">
        <v>405</v>
      </c>
      <c r="Q2" s="15" t="s">
        <v>406</v>
      </c>
      <c r="R2" s="15" t="s">
        <v>407</v>
      </c>
      <c r="S2" s="15" t="s">
        <v>408</v>
      </c>
      <c r="T2" s="15" t="s">
        <v>409</v>
      </c>
      <c r="U2" s="15" t="s">
        <v>410</v>
      </c>
      <c r="V2" s="15" t="s">
        <v>411</v>
      </c>
      <c r="W2" s="151" t="s">
        <v>412</v>
      </c>
      <c r="X2" s="15" t="s">
        <v>413</v>
      </c>
      <c r="Y2" s="15" t="s">
        <v>414</v>
      </c>
      <c r="Z2" s="15" t="s">
        <v>415</v>
      </c>
      <c r="AA2" s="15" t="s">
        <v>416</v>
      </c>
      <c r="AB2" s="15" t="s">
        <v>417</v>
      </c>
      <c r="AC2" s="15" t="s">
        <v>418</v>
      </c>
      <c r="AD2" s="15" t="s">
        <v>419</v>
      </c>
      <c r="AE2" s="15" t="s">
        <v>420</v>
      </c>
      <c r="AF2" s="15" t="s">
        <v>421</v>
      </c>
      <c r="AG2" s="15" t="s">
        <v>422</v>
      </c>
      <c r="AH2" s="15" t="s">
        <v>423</v>
      </c>
      <c r="AI2" s="15" t="s">
        <v>424</v>
      </c>
      <c r="AJ2" s="15" t="s">
        <v>425</v>
      </c>
      <c r="AK2" s="15" t="s">
        <v>426</v>
      </c>
      <c r="AL2" s="15" t="s">
        <v>427</v>
      </c>
      <c r="AM2" s="15" t="s">
        <v>428</v>
      </c>
      <c r="AN2" s="15" t="s">
        <v>429</v>
      </c>
      <c r="AO2" s="15" t="s">
        <v>430</v>
      </c>
      <c r="AP2" s="15" t="s">
        <v>431</v>
      </c>
      <c r="AQ2" s="15" t="s">
        <v>432</v>
      </c>
      <c r="AR2" s="15" t="s">
        <v>433</v>
      </c>
      <c r="AS2" s="15" t="s">
        <v>434</v>
      </c>
      <c r="AT2" s="15" t="s">
        <v>435</v>
      </c>
      <c r="AU2" s="15" t="s">
        <v>436</v>
      </c>
      <c r="AV2" s="15" t="s">
        <v>437</v>
      </c>
      <c r="AW2" s="15" t="s">
        <v>438</v>
      </c>
      <c r="AX2" s="15" t="s">
        <v>439</v>
      </c>
      <c r="AY2" s="15" t="s">
        <v>440</v>
      </c>
      <c r="AZ2" s="15" t="s">
        <v>441</v>
      </c>
      <c r="BA2" s="15" t="s">
        <v>442</v>
      </c>
      <c r="BB2" s="15" t="s">
        <v>443</v>
      </c>
      <c r="BG2" s="15" t="s">
        <v>349</v>
      </c>
      <c r="BH2" s="15" t="s">
        <v>350</v>
      </c>
      <c r="BI2" s="15" t="s">
        <v>351</v>
      </c>
      <c r="BJ2" s="15" t="s">
        <v>444</v>
      </c>
      <c r="BL2" s="15" t="s">
        <v>353</v>
      </c>
      <c r="BM2" s="15" t="s">
        <v>354</v>
      </c>
      <c r="BN2" s="15" t="s">
        <v>355</v>
      </c>
      <c r="BO2" s="15" t="s">
        <v>356</v>
      </c>
      <c r="BP2" s="15" t="s">
        <v>357</v>
      </c>
      <c r="BQ2" s="15" t="s">
        <v>358</v>
      </c>
      <c r="BR2" s="15" t="s">
        <v>359</v>
      </c>
      <c r="BS2" s="15" t="s">
        <v>445</v>
      </c>
      <c r="BT2" s="15" t="s">
        <v>361</v>
      </c>
      <c r="BU2" s="15" t="s">
        <v>362</v>
      </c>
      <c r="BV2" s="15" t="s">
        <v>363</v>
      </c>
      <c r="BW2" s="15" t="s">
        <v>364</v>
      </c>
      <c r="BX2" s="15" t="s">
        <v>365</v>
      </c>
      <c r="CB2" s="15" t="s">
        <v>369</v>
      </c>
      <c r="CC2" s="15" t="s">
        <v>370</v>
      </c>
      <c r="CD2" s="15" t="s">
        <v>446</v>
      </c>
      <c r="CE2" s="15" t="s">
        <v>373</v>
      </c>
      <c r="CF2" s="15" t="s">
        <v>373</v>
      </c>
      <c r="CG2" s="15" t="s">
        <v>374</v>
      </c>
    </row>
    <row r="3" spans="1:108">
      <c r="A3" t="str">
        <f t="shared" ref="A3:A4" si="0">_xlfn.CONCAT(B3, D3)</f>
        <v>GPR Global 100 Index45922</v>
      </c>
      <c r="B3" t="str">
        <f>VLOOKUP(F3, 'Universe to PAct mapping'!L:M, 2, FALSE)</f>
        <v>GPR Global 100 Index</v>
      </c>
      <c r="D3" s="13">
        <v>45922</v>
      </c>
      <c r="F3" t="s">
        <v>37</v>
      </c>
      <c r="I3" t="s">
        <v>447</v>
      </c>
      <c r="J3">
        <v>248</v>
      </c>
      <c r="K3">
        <v>69.317863500000001</v>
      </c>
      <c r="L3">
        <v>0.99596774200000004</v>
      </c>
      <c r="M3">
        <v>0.98799435999999996</v>
      </c>
      <c r="N3">
        <v>73.26699155</v>
      </c>
      <c r="O3">
        <v>0.99596774200000004</v>
      </c>
      <c r="P3">
        <v>0.98799435999999996</v>
      </c>
      <c r="Q3">
        <v>0.98387096799999996</v>
      </c>
      <c r="R3">
        <v>0.97588443000000002</v>
      </c>
      <c r="S3">
        <v>32.454578640000001</v>
      </c>
      <c r="T3">
        <v>0.49400715049999999</v>
      </c>
      <c r="U3">
        <v>0.60887096799999996</v>
      </c>
      <c r="V3">
        <v>6.9327587999999996E-2</v>
      </c>
      <c r="W3">
        <v>6.8548387000000002E-2</v>
      </c>
      <c r="X3">
        <v>0.99596774200000004</v>
      </c>
      <c r="Y3">
        <v>0.98799435999999996</v>
      </c>
      <c r="Z3">
        <v>131.19019800000001</v>
      </c>
      <c r="AA3">
        <v>0.86290322600000002</v>
      </c>
      <c r="AB3">
        <v>0.85706042999999998</v>
      </c>
      <c r="AC3">
        <v>8.0645160000000007E-3</v>
      </c>
      <c r="AD3">
        <v>1.6896789999999998E-2</v>
      </c>
      <c r="AE3">
        <v>0.12903225800000001</v>
      </c>
      <c r="AF3">
        <v>0.12604277999999999</v>
      </c>
      <c r="AG3">
        <v>4.0568210000000004E-3</v>
      </c>
      <c r="AH3">
        <v>2.0161289999999998E-2</v>
      </c>
      <c r="AI3">
        <v>0.99596774200000004</v>
      </c>
      <c r="AJ3">
        <v>0.98799435999999996</v>
      </c>
      <c r="AK3">
        <v>65.160968519999997</v>
      </c>
      <c r="AL3">
        <v>0.99596774200000004</v>
      </c>
      <c r="AM3">
        <v>0.98799435999999996</v>
      </c>
      <c r="AN3">
        <v>0</v>
      </c>
      <c r="AO3">
        <v>0</v>
      </c>
      <c r="AP3">
        <v>3.78897E-3</v>
      </c>
      <c r="AQ3">
        <v>4.0322580000000004E-3</v>
      </c>
      <c r="AR3">
        <v>0.99596774200000004</v>
      </c>
      <c r="AS3">
        <v>0.98799435999999996</v>
      </c>
      <c r="AT3">
        <v>0</v>
      </c>
      <c r="AU3">
        <v>0</v>
      </c>
      <c r="AV3">
        <v>0</v>
      </c>
      <c r="AW3">
        <v>0</v>
      </c>
      <c r="AX3">
        <v>0.99596774200000004</v>
      </c>
      <c r="AY3">
        <v>0.98799435999999996</v>
      </c>
      <c r="AZ3">
        <v>68.030212390000003</v>
      </c>
      <c r="BA3">
        <v>0.99596774200000004</v>
      </c>
      <c r="BB3">
        <v>0.98799435999999996</v>
      </c>
      <c r="BC3">
        <v>0.95967741900000003</v>
      </c>
      <c r="BD3">
        <v>0.95319584999999996</v>
      </c>
      <c r="BE3">
        <v>3.2258065000000002E-2</v>
      </c>
      <c r="BF3">
        <v>3.1009539999999999E-2</v>
      </c>
      <c r="BG3">
        <v>0.57896283500000001</v>
      </c>
      <c r="BH3">
        <v>0.98799435999999996</v>
      </c>
      <c r="BI3">
        <v>0.99596774200000004</v>
      </c>
      <c r="BJ3">
        <v>0.95320255200000004</v>
      </c>
      <c r="BL3">
        <v>0.96354704999999996</v>
      </c>
      <c r="BM3">
        <v>0.97177419399999998</v>
      </c>
      <c r="BN3">
        <v>48.000981670000002</v>
      </c>
      <c r="BO3">
        <v>0.48991707000000001</v>
      </c>
      <c r="BP3">
        <v>0.49193548399999998</v>
      </c>
      <c r="BQ3">
        <v>72.671000000000006</v>
      </c>
      <c r="BR3">
        <v>0.98799435999999996</v>
      </c>
      <c r="BS3">
        <v>0.49193548399999998</v>
      </c>
      <c r="BT3">
        <v>34.740835220000001</v>
      </c>
      <c r="BU3">
        <v>0.98799435999999996</v>
      </c>
      <c r="BV3">
        <v>0.49193548399999998</v>
      </c>
      <c r="BW3">
        <v>0.98799435999999996</v>
      </c>
      <c r="BX3">
        <v>0.99596774200000004</v>
      </c>
      <c r="BY3">
        <v>0</v>
      </c>
      <c r="CB3">
        <v>0.73074665000000005</v>
      </c>
      <c r="CC3">
        <v>0.17433219999999999</v>
      </c>
      <c r="CD3">
        <v>0.17338709699999999</v>
      </c>
      <c r="CE3">
        <v>0.97136065999999999</v>
      </c>
      <c r="CF3">
        <v>1</v>
      </c>
      <c r="CG3">
        <v>0.99596774200000004</v>
      </c>
      <c r="CH3">
        <v>6.0483871000000002E-2</v>
      </c>
      <c r="CI3">
        <v>4.5547579999999997E-2</v>
      </c>
      <c r="CJ3">
        <v>5.662085E-2</v>
      </c>
      <c r="CK3">
        <v>8.0645160000000007E-3</v>
      </c>
      <c r="CL3">
        <v>5.82125E-3</v>
      </c>
      <c r="CM3">
        <v>5.82125E-3</v>
      </c>
      <c r="CN3">
        <v>0</v>
      </c>
      <c r="CO3">
        <v>0</v>
      </c>
      <c r="CP3">
        <v>0</v>
      </c>
      <c r="CS3">
        <v>131.19019800000001</v>
      </c>
      <c r="CT3">
        <v>0.85706042999999998</v>
      </c>
      <c r="CU3">
        <v>0.98310321000000001</v>
      </c>
      <c r="CV3">
        <v>1.6896789999999998E-2</v>
      </c>
      <c r="CW3">
        <v>0.12604277999999999</v>
      </c>
      <c r="CY3">
        <v>0.95320255200000004</v>
      </c>
      <c r="CZ3">
        <v>0</v>
      </c>
      <c r="DA3">
        <v>81000000</v>
      </c>
      <c r="DB3">
        <v>0.36420838999999999</v>
      </c>
      <c r="DC3">
        <v>0.35887096800000001</v>
      </c>
      <c r="DD3">
        <v>0.35887096800000001</v>
      </c>
    </row>
    <row r="4" spans="1:108">
      <c r="A4" t="str">
        <f t="shared" si="0"/>
        <v>Solactive Sustainable World Equity Index45922</v>
      </c>
      <c r="B4" t="str">
        <f>VLOOKUP(F4, 'Universe to PAct mapping'!L:M, 2, FALSE)</f>
        <v>Solactive Sustainable World Equity Index</v>
      </c>
      <c r="D4" s="13">
        <v>45922</v>
      </c>
      <c r="F4" t="s">
        <v>292</v>
      </c>
      <c r="I4" t="s">
        <v>448</v>
      </c>
      <c r="J4">
        <v>100</v>
      </c>
      <c r="K4">
        <v>51.492415979999997</v>
      </c>
      <c r="L4">
        <v>0.99</v>
      </c>
      <c r="M4">
        <v>0.99897360000000002</v>
      </c>
      <c r="N4">
        <v>51.182878440000003</v>
      </c>
      <c r="O4">
        <v>0.99</v>
      </c>
      <c r="P4">
        <v>0.99897360000000002</v>
      </c>
      <c r="Q4">
        <v>0.99</v>
      </c>
      <c r="R4">
        <v>0.99897360000000002</v>
      </c>
      <c r="S4">
        <v>46.671652080000001</v>
      </c>
      <c r="T4">
        <v>0.81668185599999998</v>
      </c>
      <c r="U4">
        <v>0.99</v>
      </c>
      <c r="V4">
        <v>0</v>
      </c>
      <c r="W4">
        <v>0</v>
      </c>
      <c r="X4">
        <v>0.99</v>
      </c>
      <c r="Y4">
        <v>0.99897360000000002</v>
      </c>
      <c r="Z4">
        <v>100.7411087</v>
      </c>
      <c r="AA4">
        <v>0.5</v>
      </c>
      <c r="AB4">
        <v>0.68676451999999999</v>
      </c>
      <c r="AC4">
        <v>0.26</v>
      </c>
      <c r="AD4">
        <v>0.13975085000000001</v>
      </c>
      <c r="AE4">
        <v>0.24</v>
      </c>
      <c r="AF4">
        <v>0.17348463</v>
      </c>
      <c r="AG4">
        <v>1.0062949999999999E-2</v>
      </c>
      <c r="AH4">
        <v>0.04</v>
      </c>
      <c r="AI4">
        <v>0.99</v>
      </c>
      <c r="AJ4">
        <v>0.99897360000000002</v>
      </c>
      <c r="AK4">
        <v>48.609862730000003</v>
      </c>
      <c r="AL4">
        <v>0.99</v>
      </c>
      <c r="AM4">
        <v>0.99897360000000002</v>
      </c>
      <c r="AN4">
        <v>0</v>
      </c>
      <c r="AO4">
        <v>0</v>
      </c>
      <c r="AP4">
        <v>0</v>
      </c>
      <c r="AQ4">
        <v>0</v>
      </c>
      <c r="AR4">
        <v>0.99</v>
      </c>
      <c r="AS4">
        <v>0.99897360000000002</v>
      </c>
      <c r="AT4">
        <v>0</v>
      </c>
      <c r="AU4">
        <v>0</v>
      </c>
      <c r="AV4">
        <v>0</v>
      </c>
      <c r="AW4">
        <v>0</v>
      </c>
      <c r="AX4">
        <v>0.99</v>
      </c>
      <c r="AY4">
        <v>0.99897360000000002</v>
      </c>
      <c r="AZ4">
        <v>56.512625659999998</v>
      </c>
      <c r="BA4">
        <v>0.99</v>
      </c>
      <c r="BB4">
        <v>0.99897360000000002</v>
      </c>
      <c r="BC4">
        <v>0.99</v>
      </c>
      <c r="BD4">
        <v>0.99897360000000002</v>
      </c>
      <c r="BE4">
        <v>0</v>
      </c>
      <c r="BF4">
        <v>0</v>
      </c>
      <c r="BG4">
        <v>0.497002165</v>
      </c>
      <c r="BH4">
        <v>0.99897360000000002</v>
      </c>
      <c r="BI4">
        <v>0.99</v>
      </c>
      <c r="BJ4">
        <v>0.96585961600000003</v>
      </c>
      <c r="BL4">
        <v>0.93803917999999997</v>
      </c>
      <c r="BM4">
        <v>0.84</v>
      </c>
      <c r="BN4">
        <v>28.227174089999998</v>
      </c>
      <c r="BO4">
        <v>0.87324398000000003</v>
      </c>
      <c r="BP4">
        <v>0.75</v>
      </c>
      <c r="BQ4">
        <v>62.322119999999998</v>
      </c>
      <c r="BR4">
        <v>0.99897360000000002</v>
      </c>
      <c r="BS4">
        <v>0.75</v>
      </c>
      <c r="BT4">
        <v>31.834947110000002</v>
      </c>
      <c r="BU4">
        <v>0.99897360000000002</v>
      </c>
      <c r="BV4">
        <v>0.75</v>
      </c>
      <c r="BW4">
        <v>0.99897360000000002</v>
      </c>
      <c r="BX4">
        <v>0.99</v>
      </c>
      <c r="BY4">
        <v>0</v>
      </c>
      <c r="CB4">
        <v>0.38398918999999998</v>
      </c>
      <c r="CC4">
        <v>2.4013199999999998E-2</v>
      </c>
      <c r="CD4">
        <v>0.03</v>
      </c>
      <c r="CE4">
        <v>1.0000000099999999</v>
      </c>
      <c r="CF4">
        <v>1.0000000099999999</v>
      </c>
      <c r="CG4">
        <v>0.99</v>
      </c>
      <c r="CH4">
        <v>0.05</v>
      </c>
      <c r="CI4">
        <v>7.4445510000000006E-2</v>
      </c>
      <c r="CJ4">
        <v>9.4496220000000006E-2</v>
      </c>
      <c r="CK4">
        <v>0</v>
      </c>
      <c r="CL4">
        <v>0</v>
      </c>
      <c r="CM4">
        <v>0</v>
      </c>
      <c r="CN4">
        <v>0</v>
      </c>
      <c r="CO4">
        <v>0</v>
      </c>
      <c r="CP4">
        <v>0</v>
      </c>
      <c r="CS4">
        <v>100.7411087</v>
      </c>
      <c r="CT4">
        <v>0.68676451999999999</v>
      </c>
      <c r="CU4">
        <v>0.86024915000000002</v>
      </c>
      <c r="CV4">
        <v>0.13975085000000001</v>
      </c>
      <c r="CW4">
        <v>0.17348463</v>
      </c>
      <c r="CY4">
        <v>0.96585961600000003</v>
      </c>
      <c r="CZ4">
        <v>0</v>
      </c>
      <c r="DA4">
        <v>0</v>
      </c>
      <c r="DB4">
        <v>0.54416882</v>
      </c>
      <c r="DC4">
        <v>0.52</v>
      </c>
      <c r="DD4">
        <v>0.52</v>
      </c>
    </row>
    <row r="5" spans="1:108">
      <c r="A5" t="str">
        <f t="shared" ref="A5" si="1">_xlfn.CONCAT(B5, D5)</f>
        <v>S&amp;P Global BMI45922</v>
      </c>
      <c r="B5" t="str">
        <f>VLOOKUP(F5, 'Universe to PAct mapping'!L:M, 2, FALSE)</f>
        <v>S&amp;P Global BMI</v>
      </c>
      <c r="D5" s="13">
        <v>45922</v>
      </c>
      <c r="E5" t="s">
        <v>449</v>
      </c>
      <c r="F5" t="s">
        <v>293</v>
      </c>
      <c r="G5" t="s">
        <v>450</v>
      </c>
      <c r="I5" t="s">
        <v>451</v>
      </c>
      <c r="J5">
        <v>15425</v>
      </c>
      <c r="K5">
        <v>46.449732410918003</v>
      </c>
      <c r="L5">
        <v>0.67896272285251213</v>
      </c>
      <c r="M5">
        <v>0.978775914231238</v>
      </c>
      <c r="N5">
        <v>50.733629603294901</v>
      </c>
      <c r="O5">
        <v>0.67896272285251213</v>
      </c>
      <c r="P5">
        <v>0.978775914231238</v>
      </c>
      <c r="Q5">
        <v>0.73484602917341979</v>
      </c>
      <c r="R5">
        <v>0.96167747421469196</v>
      </c>
      <c r="S5">
        <v>34.545778293385503</v>
      </c>
      <c r="T5">
        <v>0.47549688641565652</v>
      </c>
      <c r="U5">
        <v>0.68745542949756888</v>
      </c>
      <c r="V5">
        <v>0.135903357302008</v>
      </c>
      <c r="W5">
        <v>0.11526742301458671</v>
      </c>
      <c r="X5">
        <v>0.92298217179902753</v>
      </c>
      <c r="Y5">
        <v>0.98974237932414499</v>
      </c>
      <c r="Z5">
        <v>214.70202671297901</v>
      </c>
      <c r="AA5">
        <v>0.12032414910858995</v>
      </c>
      <c r="AB5">
        <v>0.68892270374207398</v>
      </c>
      <c r="AC5">
        <v>0.15889789303079416</v>
      </c>
      <c r="AD5">
        <v>0.17869520106727901</v>
      </c>
      <c r="AE5">
        <v>0.72077795786061594</v>
      </c>
      <c r="AF5">
        <v>0.132382095190645</v>
      </c>
      <c r="AG5">
        <v>5.9013567533339603E-3</v>
      </c>
      <c r="AH5">
        <v>3.9286871961102109E-2</v>
      </c>
      <c r="AI5">
        <v>0.92298217179902753</v>
      </c>
      <c r="AJ5">
        <v>0.98974237932414499</v>
      </c>
      <c r="AK5">
        <v>45.961828422297998</v>
      </c>
      <c r="AL5">
        <v>0.67896272285251213</v>
      </c>
      <c r="AM5">
        <v>0.978775914231238</v>
      </c>
      <c r="AN5">
        <v>8.8811044064335994E-3</v>
      </c>
      <c r="AO5">
        <v>2.7228525121555914E-3</v>
      </c>
      <c r="AP5">
        <v>1.19673545110745E-2</v>
      </c>
      <c r="AQ5">
        <v>3.1118314424635331E-3</v>
      </c>
      <c r="AR5">
        <v>0.87235008103727718</v>
      </c>
      <c r="AS5">
        <v>0.99656876871119204</v>
      </c>
      <c r="AT5">
        <v>1.4476994066606101E-2</v>
      </c>
      <c r="AU5">
        <v>2.074554294975689E-3</v>
      </c>
      <c r="AV5">
        <v>5.9574126134879996E-3</v>
      </c>
      <c r="AW5">
        <v>2.9173419773095622E-3</v>
      </c>
      <c r="AX5">
        <v>0.8764991896272285</v>
      </c>
      <c r="AY5">
        <v>0.99661195392159496</v>
      </c>
      <c r="AZ5">
        <v>45.739187424653203</v>
      </c>
      <c r="BA5">
        <v>0.67896272285251213</v>
      </c>
      <c r="BB5">
        <v>0.978775914231238</v>
      </c>
      <c r="BC5">
        <v>0.86184764991896268</v>
      </c>
      <c r="BD5">
        <v>0.87173822897325404</v>
      </c>
      <c r="BE5">
        <v>7.3905996758508912E-3</v>
      </c>
      <c r="BF5">
        <v>0.11286318522686301</v>
      </c>
      <c r="BG5">
        <v>0.51080388388360998</v>
      </c>
      <c r="BH5">
        <v>0.98277027103913905</v>
      </c>
      <c r="BI5">
        <v>0.84460291734197734</v>
      </c>
      <c r="BJ5">
        <v>0.95199779153629005</v>
      </c>
      <c r="BL5">
        <v>0.92385864412049101</v>
      </c>
      <c r="BM5">
        <v>0.73977309562398708</v>
      </c>
      <c r="BN5">
        <v>42.603361999458798</v>
      </c>
      <c r="BO5">
        <v>0.46014878773949303</v>
      </c>
      <c r="BP5">
        <v>0.44985413290113452</v>
      </c>
      <c r="BQ5">
        <v>65.524869526369201</v>
      </c>
      <c r="BR5">
        <v>0.97483978896621704</v>
      </c>
      <c r="BS5">
        <v>0.44985413290113452</v>
      </c>
      <c r="BT5">
        <v>31.884264101065199</v>
      </c>
      <c r="BU5">
        <v>0.98278224312425799</v>
      </c>
      <c r="BV5">
        <v>0.44985413290113452</v>
      </c>
      <c r="BW5">
        <v>0.98322583024736998</v>
      </c>
      <c r="BX5">
        <v>0.85562398703403564</v>
      </c>
      <c r="BY5">
        <v>104437015062845</v>
      </c>
      <c r="CA5">
        <v>84.975294832928796</v>
      </c>
      <c r="CB5">
        <v>0.73627208498447605</v>
      </c>
      <c r="CC5">
        <v>0.68982160918986501</v>
      </c>
      <c r="CD5">
        <v>0.54327390599675851</v>
      </c>
      <c r="CE5">
        <v>0.90451539323287</v>
      </c>
      <c r="CF5">
        <v>0.999999999999996</v>
      </c>
      <c r="CG5">
        <v>0.99974068071312805</v>
      </c>
      <c r="CH5">
        <v>3.6175040518638575E-2</v>
      </c>
      <c r="CI5">
        <v>8.9986078064763705E-2</v>
      </c>
      <c r="CJ5">
        <v>0.12552478677897499</v>
      </c>
      <c r="CK5">
        <v>5.2512155591572119E-3</v>
      </c>
      <c r="CL5">
        <v>2.5578075119243201E-2</v>
      </c>
      <c r="CM5">
        <v>2.8315428681609401E-2</v>
      </c>
      <c r="CN5">
        <v>1.2188006482982171E-2</v>
      </c>
      <c r="CO5">
        <v>5.7635502615282002E-3</v>
      </c>
      <c r="CP5">
        <v>2.2511454901118E-2</v>
      </c>
      <c r="CQ5">
        <v>100.538395991632</v>
      </c>
      <c r="CR5">
        <v>188.859834300995</v>
      </c>
      <c r="CS5">
        <v>214.70202671297901</v>
      </c>
      <c r="CT5">
        <v>0.68892270374207398</v>
      </c>
      <c r="CU5">
        <v>0.86761790480935397</v>
      </c>
      <c r="CV5">
        <v>0.132382095190645</v>
      </c>
      <c r="CW5">
        <v>0.17869520106727901</v>
      </c>
      <c r="CX5">
        <v>5.9013567533339603E-3</v>
      </c>
      <c r="CY5">
        <v>0.95199779153629005</v>
      </c>
      <c r="CZ5">
        <v>14</v>
      </c>
      <c r="DA5">
        <v>1485145457.1600001</v>
      </c>
      <c r="DB5">
        <v>0.232038996009545</v>
      </c>
      <c r="DC5">
        <v>5098</v>
      </c>
      <c r="DD5">
        <v>0.3305024311183144</v>
      </c>
    </row>
  </sheetData>
  <autoFilter ref="A2:CG2" xr:uid="{9F6F8A00-AA3C-437A-A93A-7D0D7BD242C4}"/>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CD517F-D032-418A-83DB-28B4D6B1E860}">
  <sheetPr>
    <tabColor rgb="FFFFFF00"/>
  </sheetPr>
  <dimension ref="A1:DK53"/>
  <sheetViews>
    <sheetView zoomScaleNormal="100" workbookViewId="0">
      <pane ySplit="3" topLeftCell="A4" activePane="bottomLeft" state="frozen"/>
      <selection activeCell="I14" sqref="I14:S14"/>
      <selection pane="bottomLeft" activeCell="D17" sqref="D17"/>
    </sheetView>
  </sheetViews>
  <sheetFormatPr defaultColWidth="9.28515625" defaultRowHeight="15"/>
  <cols>
    <col min="1" max="1" width="9.28515625" style="263"/>
    <col min="2" max="2" width="53.7109375" style="263" customWidth="1"/>
    <col min="3" max="3" width="9.28515625" style="263"/>
    <col min="4" max="4" width="31.140625" style="263" customWidth="1"/>
    <col min="5" max="5" width="55.42578125" style="263" customWidth="1"/>
    <col min="6" max="6" width="13.7109375" style="287" customWidth="1"/>
    <col min="7" max="9" width="9.28515625" style="263" customWidth="1"/>
    <col min="10" max="10" width="21.5703125" style="263" customWidth="1"/>
    <col min="11" max="11" width="19.42578125" style="263" customWidth="1"/>
    <col min="12" max="12" width="39.7109375" style="288" customWidth="1"/>
    <col min="13" max="42" width="9.28515625" style="263" customWidth="1"/>
    <col min="43" max="43" width="24.42578125" style="263" customWidth="1"/>
    <col min="44" max="44" width="38.28515625" style="263" customWidth="1"/>
    <col min="45" max="45" width="46" style="263" customWidth="1"/>
    <col min="46" max="64" width="9.28515625" style="263" customWidth="1"/>
    <col min="65" max="65" width="22.42578125" style="263" customWidth="1"/>
    <col min="66" max="66" width="9.28515625" style="263" customWidth="1"/>
    <col min="67" max="67" width="14.28515625" style="263" customWidth="1"/>
    <col min="68" max="68" width="9.140625" style="263" customWidth="1"/>
    <col min="69" max="69" width="6.42578125" style="263" customWidth="1"/>
    <col min="70" max="70" width="62.7109375" style="263" customWidth="1"/>
    <col min="71" max="97" width="9.28515625" style="263" customWidth="1"/>
    <col min="98" max="98" width="11.42578125" style="263" customWidth="1"/>
    <col min="99" max="100" width="9.28515625" style="263" customWidth="1"/>
    <col min="101" max="101" width="12.5703125" style="263" customWidth="1"/>
    <col min="102" max="107" width="9.28515625" style="263" customWidth="1"/>
    <col min="108" max="108" width="11.5703125" style="263" customWidth="1"/>
    <col min="109" max="109" width="9.28515625" style="263" customWidth="1"/>
    <col min="110" max="110" width="31" style="263" customWidth="1"/>
    <col min="111" max="114" width="9.28515625" style="263" customWidth="1"/>
    <col min="115" max="115" width="8.7109375" customWidth="1"/>
    <col min="116" max="16384" width="9.28515625" style="263"/>
  </cols>
  <sheetData>
    <row r="1" spans="1:115">
      <c r="B1" s="263">
        <v>1</v>
      </c>
      <c r="C1" s="263">
        <v>2</v>
      </c>
      <c r="D1" s="263">
        <v>3</v>
      </c>
      <c r="E1" s="263" t="s">
        <v>452</v>
      </c>
      <c r="F1" s="287">
        <v>5</v>
      </c>
      <c r="G1" s="263">
        <v>6</v>
      </c>
      <c r="H1" s="263">
        <v>7</v>
      </c>
      <c r="I1" s="263">
        <v>8</v>
      </c>
      <c r="J1" s="263">
        <v>9</v>
      </c>
      <c r="K1" s="263">
        <v>10</v>
      </c>
      <c r="L1" s="288">
        <v>11</v>
      </c>
      <c r="M1" s="263">
        <v>12</v>
      </c>
      <c r="N1" s="263">
        <v>13</v>
      </c>
      <c r="O1" s="263">
        <v>14</v>
      </c>
      <c r="P1" s="263">
        <v>15</v>
      </c>
      <c r="Q1" s="263">
        <v>16</v>
      </c>
      <c r="R1" s="263">
        <v>17</v>
      </c>
      <c r="S1" s="263">
        <v>18</v>
      </c>
      <c r="T1" s="263">
        <v>19</v>
      </c>
      <c r="U1" s="263">
        <v>20</v>
      </c>
      <c r="V1" s="263">
        <v>21</v>
      </c>
      <c r="W1" s="263">
        <v>22</v>
      </c>
      <c r="X1" s="263">
        <v>23</v>
      </c>
      <c r="Y1" s="263">
        <v>24</v>
      </c>
      <c r="Z1" s="263">
        <v>25</v>
      </c>
      <c r="AA1" s="263">
        <v>26</v>
      </c>
      <c r="AB1" s="263">
        <v>27</v>
      </c>
      <c r="AC1" s="263">
        <v>28</v>
      </c>
      <c r="AD1" s="263">
        <v>29</v>
      </c>
      <c r="AE1" s="263">
        <v>30</v>
      </c>
      <c r="AF1" s="263">
        <v>31</v>
      </c>
      <c r="AG1" s="263">
        <v>32</v>
      </c>
      <c r="AH1" s="263">
        <v>33</v>
      </c>
      <c r="AI1" s="263">
        <v>34</v>
      </c>
      <c r="AJ1" s="263">
        <v>35</v>
      </c>
      <c r="AK1" s="263">
        <v>36</v>
      </c>
      <c r="AL1" s="263">
        <v>37</v>
      </c>
      <c r="AM1" s="263">
        <v>38</v>
      </c>
      <c r="AN1" s="263">
        <v>39</v>
      </c>
      <c r="AO1" s="263">
        <v>40</v>
      </c>
      <c r="AP1" s="263">
        <v>41</v>
      </c>
      <c r="AQ1" s="263">
        <v>42</v>
      </c>
      <c r="AR1" s="263">
        <v>43</v>
      </c>
      <c r="AS1" s="263">
        <v>44</v>
      </c>
      <c r="AT1" s="263">
        <v>45</v>
      </c>
      <c r="AU1" s="263">
        <v>46</v>
      </c>
      <c r="AV1" s="263">
        <v>47</v>
      </c>
      <c r="AW1" s="263">
        <v>48</v>
      </c>
      <c r="AX1" s="263">
        <v>49</v>
      </c>
      <c r="AY1" s="263">
        <v>50</v>
      </c>
      <c r="AZ1" s="289">
        <v>51</v>
      </c>
      <c r="BA1" s="289">
        <v>52</v>
      </c>
      <c r="BB1" s="289">
        <v>53</v>
      </c>
      <c r="BC1" s="289">
        <v>54</v>
      </c>
      <c r="BD1" s="289">
        <v>55</v>
      </c>
      <c r="BE1" s="289">
        <v>56</v>
      </c>
      <c r="BF1" s="289">
        <v>57</v>
      </c>
      <c r="BG1" s="289">
        <v>58</v>
      </c>
      <c r="BH1" s="289">
        <v>59</v>
      </c>
      <c r="BI1" s="289">
        <v>60</v>
      </c>
      <c r="BJ1" s="289">
        <v>61</v>
      </c>
      <c r="BK1" s="289">
        <v>62</v>
      </c>
      <c r="BL1" s="263">
        <v>63</v>
      </c>
      <c r="BM1" s="263">
        <v>64</v>
      </c>
      <c r="BN1" s="263">
        <v>65</v>
      </c>
      <c r="BO1" s="263">
        <v>66</v>
      </c>
      <c r="BP1" s="263">
        <v>67</v>
      </c>
      <c r="BQ1" s="263">
        <v>68</v>
      </c>
      <c r="BR1" s="263">
        <v>69</v>
      </c>
      <c r="BS1" s="263">
        <v>70</v>
      </c>
      <c r="BT1" s="263">
        <v>71</v>
      </c>
      <c r="BU1" s="263">
        <v>72</v>
      </c>
      <c r="BV1" s="263">
        <v>73</v>
      </c>
      <c r="BW1" s="263">
        <v>74</v>
      </c>
      <c r="BX1" s="263">
        <v>75</v>
      </c>
      <c r="BY1" s="263">
        <v>76</v>
      </c>
      <c r="BZ1" s="263">
        <v>77</v>
      </c>
      <c r="CA1" s="263">
        <v>78</v>
      </c>
      <c r="CB1" s="263">
        <v>79</v>
      </c>
      <c r="CC1" s="263">
        <v>80</v>
      </c>
      <c r="CD1" s="263">
        <v>81</v>
      </c>
      <c r="CE1" s="263">
        <v>82</v>
      </c>
      <c r="CF1" s="263">
        <v>83</v>
      </c>
      <c r="CG1" s="263">
        <v>84</v>
      </c>
      <c r="CH1" s="263">
        <v>85</v>
      </c>
      <c r="CI1" s="263">
        <v>86</v>
      </c>
      <c r="CJ1" s="263">
        <v>87</v>
      </c>
      <c r="CK1" s="263">
        <v>88</v>
      </c>
      <c r="CL1" s="263">
        <v>89</v>
      </c>
      <c r="CM1" s="263">
        <v>90</v>
      </c>
      <c r="CN1" s="263">
        <v>91</v>
      </c>
      <c r="CO1" s="263">
        <v>92</v>
      </c>
      <c r="CP1" s="263">
        <v>93</v>
      </c>
      <c r="CQ1" s="263">
        <v>94</v>
      </c>
      <c r="CR1" s="263">
        <v>95</v>
      </c>
      <c r="CS1" s="263">
        <v>96</v>
      </c>
      <c r="CT1" s="263">
        <v>97</v>
      </c>
      <c r="CU1" s="263">
        <v>98</v>
      </c>
      <c r="CV1" s="263">
        <v>99</v>
      </c>
      <c r="CW1" s="263">
        <v>100</v>
      </c>
      <c r="CX1" s="263">
        <v>101</v>
      </c>
      <c r="CY1" s="263">
        <v>102</v>
      </c>
      <c r="CZ1" s="263">
        <v>103</v>
      </c>
      <c r="DA1" s="263">
        <v>104</v>
      </c>
      <c r="DB1" s="263">
        <v>105</v>
      </c>
      <c r="DC1" s="263">
        <v>106</v>
      </c>
      <c r="DD1" s="263">
        <v>107</v>
      </c>
      <c r="DE1" s="263">
        <v>108</v>
      </c>
      <c r="DF1" s="263">
        <v>109</v>
      </c>
      <c r="DG1" s="263">
        <v>110</v>
      </c>
    </row>
    <row r="2" spans="1:115" s="290" customFormat="1" ht="43.5" customHeight="1">
      <c r="A2" s="290" t="s">
        <v>453</v>
      </c>
      <c r="B2" s="290" t="str">
        <f>E2&amp;F2</f>
        <v>indexnameDate_x</v>
      </c>
      <c r="D2" s="290" t="s">
        <v>454</v>
      </c>
      <c r="E2" s="290" t="s">
        <v>455</v>
      </c>
      <c r="F2" s="291" t="s">
        <v>456</v>
      </c>
      <c r="G2" s="290" t="s">
        <v>457</v>
      </c>
      <c r="H2" s="290" t="s">
        <v>458</v>
      </c>
      <c r="I2" s="290" t="s">
        <v>459</v>
      </c>
      <c r="J2" s="290" t="s">
        <v>460</v>
      </c>
      <c r="K2" s="290" t="s">
        <v>461</v>
      </c>
      <c r="L2" s="290" t="s">
        <v>462</v>
      </c>
      <c r="M2" s="290" t="s">
        <v>463</v>
      </c>
      <c r="N2" s="290" t="s">
        <v>464</v>
      </c>
      <c r="O2" s="290" t="s">
        <v>465</v>
      </c>
      <c r="P2" s="290" t="s">
        <v>466</v>
      </c>
      <c r="Q2" s="290" t="s">
        <v>467</v>
      </c>
      <c r="R2" s="290" t="s">
        <v>468</v>
      </c>
      <c r="S2" s="290" t="s">
        <v>469</v>
      </c>
      <c r="T2" s="290" t="s">
        <v>470</v>
      </c>
      <c r="U2" s="290" t="s">
        <v>471</v>
      </c>
      <c r="V2" s="290" t="s">
        <v>472</v>
      </c>
      <c r="W2" s="290" t="s">
        <v>473</v>
      </c>
      <c r="X2" s="290" t="s">
        <v>474</v>
      </c>
      <c r="Y2" s="290" t="s">
        <v>475</v>
      </c>
      <c r="Z2" s="290" t="s">
        <v>476</v>
      </c>
      <c r="AA2" s="290" t="s">
        <v>477</v>
      </c>
      <c r="AB2" s="290" t="s">
        <v>478</v>
      </c>
      <c r="AC2" s="290" t="s">
        <v>479</v>
      </c>
      <c r="AD2" s="290" t="s">
        <v>480</v>
      </c>
      <c r="AE2" s="290" t="s">
        <v>481</v>
      </c>
      <c r="AF2" s="290" t="s">
        <v>482</v>
      </c>
      <c r="AG2" s="290" t="s">
        <v>483</v>
      </c>
      <c r="AH2" s="290" t="s">
        <v>484</v>
      </c>
      <c r="AI2" s="290" t="s">
        <v>485</v>
      </c>
      <c r="AJ2" s="290" t="s">
        <v>486</v>
      </c>
      <c r="AK2" s="290" t="s">
        <v>487</v>
      </c>
      <c r="AL2" s="290" t="s">
        <v>488</v>
      </c>
      <c r="AM2" s="290" t="s">
        <v>489</v>
      </c>
      <c r="AN2" s="290" t="s">
        <v>490</v>
      </c>
      <c r="AO2" s="290" t="s">
        <v>491</v>
      </c>
      <c r="AP2" s="290" t="s">
        <v>492</v>
      </c>
      <c r="AQ2" s="290" t="s">
        <v>493</v>
      </c>
      <c r="AR2" s="290" t="s">
        <v>494</v>
      </c>
      <c r="AS2" s="290" t="s">
        <v>495</v>
      </c>
      <c r="AT2" s="290" t="s">
        <v>496</v>
      </c>
      <c r="AU2" s="290" t="s">
        <v>497</v>
      </c>
      <c r="AV2" s="290" t="s">
        <v>498</v>
      </c>
      <c r="AW2" s="290" t="s">
        <v>499</v>
      </c>
      <c r="AX2" s="290" t="s">
        <v>500</v>
      </c>
      <c r="AY2" s="290" t="s">
        <v>501</v>
      </c>
      <c r="AZ2" s="290" t="s">
        <v>502</v>
      </c>
      <c r="BA2" s="290" t="s">
        <v>503</v>
      </c>
      <c r="BB2" s="290" t="s">
        <v>504</v>
      </c>
      <c r="BC2" s="290" t="s">
        <v>505</v>
      </c>
      <c r="BD2" s="290" t="s">
        <v>506</v>
      </c>
      <c r="BE2" s="290" t="s">
        <v>507</v>
      </c>
      <c r="BF2" s="290" t="s">
        <v>508</v>
      </c>
      <c r="BG2" s="290" t="s">
        <v>509</v>
      </c>
      <c r="BH2" s="290" t="s">
        <v>510</v>
      </c>
      <c r="BI2" s="290" t="s">
        <v>511</v>
      </c>
      <c r="BJ2" s="290" t="s">
        <v>512</v>
      </c>
      <c r="BK2" s="290" t="s">
        <v>513</v>
      </c>
      <c r="BL2" s="290" t="s">
        <v>514</v>
      </c>
      <c r="BM2" s="290" t="s">
        <v>515</v>
      </c>
      <c r="BN2" s="290" t="s">
        <v>516</v>
      </c>
      <c r="BO2" s="290" t="s">
        <v>517</v>
      </c>
      <c r="BP2" s="290" t="s">
        <v>518</v>
      </c>
      <c r="BQ2" s="290" t="s">
        <v>519</v>
      </c>
      <c r="BR2" s="290" t="s">
        <v>520</v>
      </c>
      <c r="BS2" s="290" t="s">
        <v>521</v>
      </c>
      <c r="BT2" s="290" t="s">
        <v>522</v>
      </c>
      <c r="BU2" s="290" t="s">
        <v>523</v>
      </c>
      <c r="BV2" s="290" t="s">
        <v>524</v>
      </c>
      <c r="BW2" s="290" t="s">
        <v>525</v>
      </c>
      <c r="BX2" s="290" t="s">
        <v>526</v>
      </c>
      <c r="BY2" s="290" t="s">
        <v>527</v>
      </c>
      <c r="BZ2" s="290" t="s">
        <v>528</v>
      </c>
      <c r="CA2" s="290" t="s">
        <v>529</v>
      </c>
      <c r="CB2" s="290" t="s">
        <v>530</v>
      </c>
      <c r="CC2" s="290" t="s">
        <v>531</v>
      </c>
      <c r="CD2" s="290" t="s">
        <v>532</v>
      </c>
      <c r="CE2" s="290" t="s">
        <v>533</v>
      </c>
      <c r="CF2" s="290" t="s">
        <v>534</v>
      </c>
      <c r="CG2" s="290" t="s">
        <v>535</v>
      </c>
      <c r="CH2" s="290" t="s">
        <v>536</v>
      </c>
      <c r="CI2" s="290" t="s">
        <v>537</v>
      </c>
      <c r="CJ2" s="290" t="s">
        <v>538</v>
      </c>
      <c r="CK2" s="290" t="s">
        <v>539</v>
      </c>
      <c r="CL2" s="290" t="s">
        <v>540</v>
      </c>
      <c r="CM2" s="290" t="s">
        <v>541</v>
      </c>
      <c r="CN2" s="290" t="s">
        <v>542</v>
      </c>
      <c r="CO2" s="290" t="s">
        <v>543</v>
      </c>
      <c r="CP2" s="290" t="s">
        <v>544</v>
      </c>
      <c r="CQ2" s="290" t="s">
        <v>545</v>
      </c>
      <c r="CR2" s="290" t="s">
        <v>546</v>
      </c>
      <c r="CS2" s="290" t="s">
        <v>547</v>
      </c>
      <c r="CT2" s="290" t="s">
        <v>548</v>
      </c>
      <c r="CU2" s="290" t="s">
        <v>549</v>
      </c>
      <c r="CV2" s="290" t="s">
        <v>550</v>
      </c>
      <c r="CW2" s="290" t="s">
        <v>551</v>
      </c>
      <c r="CX2" s="290" t="s">
        <v>552</v>
      </c>
      <c r="CY2" s="290" t="s">
        <v>553</v>
      </c>
      <c r="CZ2" s="290" t="s">
        <v>554</v>
      </c>
      <c r="DA2" s="290" t="s">
        <v>555</v>
      </c>
      <c r="DB2" s="290" t="s">
        <v>556</v>
      </c>
      <c r="DC2" s="290" t="s">
        <v>557</v>
      </c>
      <c r="DD2" s="290" t="s">
        <v>558</v>
      </c>
      <c r="DE2" s="290" t="s">
        <v>559</v>
      </c>
      <c r="DF2" s="290" t="s">
        <v>560</v>
      </c>
      <c r="DG2" s="290" t="s">
        <v>561</v>
      </c>
      <c r="DK2" s="14"/>
    </row>
    <row r="3" spans="1:115" ht="42" customHeight="1">
      <c r="A3" s="292" t="s">
        <v>562</v>
      </c>
      <c r="C3" s="15"/>
      <c r="D3" s="15" t="s">
        <v>454</v>
      </c>
      <c r="E3" s="15" t="s">
        <v>455</v>
      </c>
      <c r="F3" s="293" t="s">
        <v>456</v>
      </c>
      <c r="G3" s="15" t="s">
        <v>457</v>
      </c>
      <c r="H3" s="15" t="s">
        <v>458</v>
      </c>
      <c r="I3" s="15" t="s">
        <v>459</v>
      </c>
      <c r="J3" s="15" t="s">
        <v>460</v>
      </c>
      <c r="K3" s="15" t="s">
        <v>461</v>
      </c>
      <c r="L3" s="294" t="s">
        <v>462</v>
      </c>
      <c r="M3" s="15" t="s">
        <v>563</v>
      </c>
      <c r="N3" s="15" t="s">
        <v>464</v>
      </c>
      <c r="O3" s="15" t="s">
        <v>465</v>
      </c>
      <c r="P3" s="15" t="s">
        <v>564</v>
      </c>
      <c r="Q3" s="15" t="s">
        <v>467</v>
      </c>
      <c r="R3" s="15" t="s">
        <v>468</v>
      </c>
      <c r="S3" s="15" t="s">
        <v>565</v>
      </c>
      <c r="T3" s="15" t="s">
        <v>470</v>
      </c>
      <c r="U3" s="15" t="s">
        <v>471</v>
      </c>
      <c r="V3" s="15" t="s">
        <v>566</v>
      </c>
      <c r="W3" s="15" t="s">
        <v>473</v>
      </c>
      <c r="X3" s="15" t="s">
        <v>474</v>
      </c>
      <c r="Y3" s="294" t="s">
        <v>567</v>
      </c>
      <c r="Z3" s="294" t="s">
        <v>568</v>
      </c>
      <c r="AA3" s="294" t="s">
        <v>569</v>
      </c>
      <c r="AB3" s="294" t="s">
        <v>570</v>
      </c>
      <c r="AC3" s="294" t="s">
        <v>571</v>
      </c>
      <c r="AD3" s="294" t="s">
        <v>572</v>
      </c>
      <c r="AE3" s="295" t="s">
        <v>573</v>
      </c>
      <c r="AF3" s="295" t="s">
        <v>482</v>
      </c>
      <c r="AG3" s="295" t="s">
        <v>483</v>
      </c>
      <c r="AH3" s="295" t="s">
        <v>574</v>
      </c>
      <c r="AI3" s="295" t="s">
        <v>575</v>
      </c>
      <c r="AJ3" s="295" t="s">
        <v>576</v>
      </c>
      <c r="AK3" s="294" t="s">
        <v>577</v>
      </c>
      <c r="AL3" s="294" t="s">
        <v>488</v>
      </c>
      <c r="AM3" s="294" t="s">
        <v>489</v>
      </c>
      <c r="AN3" s="294" t="s">
        <v>578</v>
      </c>
      <c r="AO3" s="294" t="s">
        <v>491</v>
      </c>
      <c r="AP3" s="294" t="s">
        <v>492</v>
      </c>
      <c r="AQ3" s="294" t="s">
        <v>493</v>
      </c>
      <c r="AR3" s="294" t="s">
        <v>494</v>
      </c>
      <c r="AS3" s="294" t="s">
        <v>495</v>
      </c>
      <c r="BL3" s="296" t="s">
        <v>514</v>
      </c>
      <c r="BM3" s="296" t="s">
        <v>515</v>
      </c>
      <c r="BN3" s="296" t="s">
        <v>516</v>
      </c>
      <c r="BO3" s="296" t="s">
        <v>517</v>
      </c>
      <c r="BP3" s="296" t="s">
        <v>518</v>
      </c>
      <c r="BQ3" s="296" t="s">
        <v>519</v>
      </c>
      <c r="BR3" s="297" t="s">
        <v>579</v>
      </c>
      <c r="BS3" s="15" t="s">
        <v>521</v>
      </c>
      <c r="BT3" s="15" t="s">
        <v>522</v>
      </c>
      <c r="BU3" s="15" t="s">
        <v>523</v>
      </c>
      <c r="BV3" s="15" t="s">
        <v>524</v>
      </c>
      <c r="BW3" s="15" t="s">
        <v>525</v>
      </c>
      <c r="BX3" s="15" t="s">
        <v>526</v>
      </c>
      <c r="BY3" s="15" t="s">
        <v>580</v>
      </c>
      <c r="BZ3" s="15" t="s">
        <v>581</v>
      </c>
      <c r="CA3" s="15" t="s">
        <v>582</v>
      </c>
      <c r="CB3" s="15" t="s">
        <v>583</v>
      </c>
      <c r="CC3" s="15" t="s">
        <v>584</v>
      </c>
      <c r="CD3" s="15" t="s">
        <v>585</v>
      </c>
      <c r="CE3" s="296" t="s">
        <v>586</v>
      </c>
      <c r="CF3" s="296" t="s">
        <v>587</v>
      </c>
      <c r="CG3" s="296" t="s">
        <v>588</v>
      </c>
      <c r="CH3" s="294" t="s">
        <v>589</v>
      </c>
      <c r="CI3" s="294" t="s">
        <v>590</v>
      </c>
      <c r="CJ3" s="294" t="s">
        <v>591</v>
      </c>
      <c r="CK3" s="294" t="s">
        <v>592</v>
      </c>
      <c r="CL3" s="294" t="s">
        <v>593</v>
      </c>
      <c r="CM3" s="294" t="s">
        <v>594</v>
      </c>
      <c r="CN3" s="296" t="s">
        <v>595</v>
      </c>
      <c r="CO3" s="296" t="s">
        <v>596</v>
      </c>
      <c r="CP3" s="296" t="s">
        <v>597</v>
      </c>
      <c r="CQ3" s="296" t="s">
        <v>598</v>
      </c>
      <c r="CR3" s="296" t="s">
        <v>599</v>
      </c>
      <c r="CS3" s="296" t="s">
        <v>600</v>
      </c>
      <c r="CT3" s="296" t="s">
        <v>601</v>
      </c>
      <c r="CU3" s="296" t="s">
        <v>602</v>
      </c>
      <c r="CV3" s="296" t="s">
        <v>603</v>
      </c>
      <c r="CW3" s="296" t="s">
        <v>604</v>
      </c>
      <c r="CX3" s="296" t="s">
        <v>605</v>
      </c>
      <c r="CY3" s="296" t="s">
        <v>606</v>
      </c>
      <c r="CZ3" s="298"/>
      <c r="DA3" s="298"/>
      <c r="DB3" s="299"/>
      <c r="DC3" s="294" t="s">
        <v>607</v>
      </c>
      <c r="DD3" s="294" t="s">
        <v>608</v>
      </c>
      <c r="DE3" s="294" t="s">
        <v>609</v>
      </c>
      <c r="DF3" s="292" t="s">
        <v>560</v>
      </c>
      <c r="DG3" s="292"/>
      <c r="DH3" s="15"/>
      <c r="DI3" s="15"/>
      <c r="DJ3" s="15"/>
    </row>
    <row r="4" spans="1:115" ht="30">
      <c r="B4" s="300" t="str">
        <f>E4&amp;F4</f>
        <v>iBoxx EUR Liquid Sovereign Diversified 1-1045922</v>
      </c>
      <c r="D4" t="s">
        <v>610</v>
      </c>
      <c r="E4" t="s">
        <v>177</v>
      </c>
      <c r="F4" s="13">
        <v>45922</v>
      </c>
      <c r="G4">
        <v>25</v>
      </c>
      <c r="H4">
        <v>25</v>
      </c>
      <c r="I4">
        <v>0</v>
      </c>
      <c r="J4">
        <v>1</v>
      </c>
      <c r="K4">
        <v>0</v>
      </c>
      <c r="L4" t="s">
        <v>611</v>
      </c>
      <c r="M4">
        <v>67.198718425547895</v>
      </c>
      <c r="N4">
        <v>0.99866101368262505</v>
      </c>
      <c r="O4">
        <v>1</v>
      </c>
      <c r="P4">
        <v>63.627249231025303</v>
      </c>
      <c r="Q4">
        <v>0.99866101368262505</v>
      </c>
      <c r="R4">
        <v>1</v>
      </c>
      <c r="S4">
        <v>67.104725775717696</v>
      </c>
      <c r="T4">
        <v>0.99866101368262505</v>
      </c>
      <c r="U4">
        <v>1</v>
      </c>
      <c r="V4">
        <v>68.3359540387859</v>
      </c>
      <c r="W4">
        <v>0.99866101368262505</v>
      </c>
      <c r="X4">
        <v>1</v>
      </c>
      <c r="Y4">
        <v>59.162462183724202</v>
      </c>
      <c r="Z4">
        <v>0.80994773820409605</v>
      </c>
      <c r="AA4">
        <v>0.84</v>
      </c>
      <c r="AB4">
        <v>73.176308888050002</v>
      </c>
      <c r="AC4">
        <v>0.99866101368262505</v>
      </c>
      <c r="AD4">
        <v>1</v>
      </c>
      <c r="AE4">
        <v>0</v>
      </c>
      <c r="AF4" t="s">
        <v>612</v>
      </c>
      <c r="AG4" t="s">
        <v>612</v>
      </c>
      <c r="AH4">
        <v>0</v>
      </c>
      <c r="AI4" t="s">
        <v>612</v>
      </c>
      <c r="AJ4" t="s">
        <v>612</v>
      </c>
      <c r="AK4">
        <v>61.613527072281499</v>
      </c>
      <c r="AL4">
        <v>0.99866101368262505</v>
      </c>
      <c r="AM4">
        <v>1</v>
      </c>
      <c r="AN4">
        <v>70.839414302669198</v>
      </c>
      <c r="AO4">
        <v>0.99866101368262505</v>
      </c>
      <c r="AP4">
        <v>1</v>
      </c>
      <c r="AQ4">
        <v>164.15309716226901</v>
      </c>
      <c r="AR4">
        <v>0.99866101368262505</v>
      </c>
      <c r="AS4">
        <v>1</v>
      </c>
      <c r="AT4">
        <v>0</v>
      </c>
      <c r="AU4">
        <v>0.99866101368262505</v>
      </c>
      <c r="AV4">
        <v>0</v>
      </c>
      <c r="AW4">
        <v>0</v>
      </c>
      <c r="AX4">
        <v>0</v>
      </c>
      <c r="AY4">
        <v>0</v>
      </c>
      <c r="AZ4">
        <v>1</v>
      </c>
      <c r="BA4">
        <v>0.99866101368262505</v>
      </c>
      <c r="BB4">
        <v>1</v>
      </c>
      <c r="BC4">
        <v>1</v>
      </c>
      <c r="BD4">
        <v>0.99866101368262505</v>
      </c>
      <c r="BE4">
        <v>1</v>
      </c>
      <c r="BF4" t="s">
        <v>612</v>
      </c>
      <c r="BG4">
        <v>0.99866101368262505</v>
      </c>
      <c r="BH4">
        <v>1</v>
      </c>
      <c r="BI4">
        <v>1</v>
      </c>
      <c r="BJ4">
        <v>0.99866101368262505</v>
      </c>
      <c r="BK4">
        <v>1</v>
      </c>
      <c r="BL4" t="s">
        <v>612</v>
      </c>
      <c r="BM4" t="s">
        <v>612</v>
      </c>
      <c r="BN4" t="s">
        <v>612</v>
      </c>
      <c r="BO4">
        <v>0</v>
      </c>
      <c r="BP4" t="s">
        <v>612</v>
      </c>
      <c r="BQ4" t="s">
        <v>612</v>
      </c>
      <c r="BR4" t="s">
        <v>612</v>
      </c>
      <c r="BS4" t="s">
        <v>612</v>
      </c>
      <c r="BT4" t="s">
        <v>612</v>
      </c>
      <c r="BU4" t="s">
        <v>612</v>
      </c>
      <c r="BV4" t="s">
        <v>612</v>
      </c>
      <c r="BW4" t="s">
        <v>612</v>
      </c>
      <c r="BX4" t="s">
        <v>612</v>
      </c>
      <c r="BY4">
        <v>0</v>
      </c>
      <c r="BZ4">
        <v>0.99866101368262505</v>
      </c>
      <c r="CA4">
        <v>1</v>
      </c>
      <c r="CB4">
        <v>0</v>
      </c>
      <c r="CC4">
        <v>0.99866101368262505</v>
      </c>
      <c r="CD4">
        <v>1</v>
      </c>
      <c r="CE4" t="s">
        <v>612</v>
      </c>
      <c r="CF4" t="s">
        <v>612</v>
      </c>
      <c r="CG4" t="s">
        <v>612</v>
      </c>
      <c r="CH4">
        <v>0</v>
      </c>
      <c r="CI4">
        <v>0.99866101368262505</v>
      </c>
      <c r="CJ4">
        <v>1</v>
      </c>
      <c r="CK4">
        <v>60.118293084472398</v>
      </c>
      <c r="CL4">
        <v>0.99866101368262505</v>
      </c>
      <c r="CM4">
        <v>1</v>
      </c>
      <c r="CN4" t="s">
        <v>612</v>
      </c>
      <c r="CO4" t="s">
        <v>612</v>
      </c>
      <c r="CP4" t="s">
        <v>612</v>
      </c>
      <c r="CQ4">
        <v>0</v>
      </c>
      <c r="CR4" t="s">
        <v>612</v>
      </c>
      <c r="CS4" t="s">
        <v>612</v>
      </c>
      <c r="CT4">
        <v>0</v>
      </c>
      <c r="CU4" t="s">
        <v>612</v>
      </c>
      <c r="CV4" t="s">
        <v>612</v>
      </c>
      <c r="CW4">
        <v>0</v>
      </c>
      <c r="CX4" t="s">
        <v>612</v>
      </c>
      <c r="CY4" t="s">
        <v>612</v>
      </c>
      <c r="CZ4">
        <v>0</v>
      </c>
      <c r="DA4" t="s">
        <v>612</v>
      </c>
      <c r="DB4" t="s">
        <v>612</v>
      </c>
      <c r="DC4">
        <v>69.971505204084806</v>
      </c>
      <c r="DD4">
        <v>0.99866101368262505</v>
      </c>
      <c r="DE4">
        <v>1</v>
      </c>
      <c r="DF4" s="292" t="s">
        <v>613</v>
      </c>
      <c r="DG4" s="263" t="s">
        <v>614</v>
      </c>
    </row>
    <row r="5" spans="1:115" ht="30">
      <c r="B5" s="263" t="str">
        <f t="shared" ref="B5" si="0">E5&amp;F5</f>
        <v>iBoxx SD-KPI EUR Liquid Corporates45922</v>
      </c>
      <c r="D5" t="s">
        <v>615</v>
      </c>
      <c r="E5" t="s">
        <v>616</v>
      </c>
      <c r="F5" s="13">
        <v>45922</v>
      </c>
      <c r="G5">
        <v>40</v>
      </c>
      <c r="H5">
        <v>0</v>
      </c>
      <c r="I5">
        <v>40</v>
      </c>
      <c r="J5">
        <v>0</v>
      </c>
      <c r="K5">
        <v>1</v>
      </c>
      <c r="L5" t="s">
        <v>28</v>
      </c>
      <c r="M5">
        <v>20.517813677289499</v>
      </c>
      <c r="N5">
        <v>1</v>
      </c>
      <c r="O5">
        <v>1</v>
      </c>
      <c r="P5">
        <v>3.5045456484997701</v>
      </c>
      <c r="Q5">
        <v>1</v>
      </c>
      <c r="R5">
        <v>1</v>
      </c>
      <c r="S5">
        <v>10.518084269362401</v>
      </c>
      <c r="T5">
        <v>1</v>
      </c>
      <c r="U5">
        <v>1</v>
      </c>
      <c r="V5">
        <v>6.4951837594243198</v>
      </c>
      <c r="W5">
        <v>1</v>
      </c>
      <c r="X5">
        <v>1</v>
      </c>
      <c r="Y5" t="s">
        <v>612</v>
      </c>
      <c r="Z5" t="s">
        <v>612</v>
      </c>
      <c r="AA5" t="s">
        <v>612</v>
      </c>
      <c r="AB5" t="s">
        <v>612</v>
      </c>
      <c r="AC5" t="s">
        <v>612</v>
      </c>
      <c r="AD5" t="s">
        <v>612</v>
      </c>
      <c r="AE5">
        <v>0.28992318388319299</v>
      </c>
      <c r="AF5">
        <v>9.3037367991465295E-2</v>
      </c>
      <c r="AG5">
        <v>0.1</v>
      </c>
      <c r="AH5">
        <v>0.41710691830033098</v>
      </c>
      <c r="AI5">
        <v>7.6136777897072502E-2</v>
      </c>
      <c r="AJ5">
        <v>7.4999999999999997E-2</v>
      </c>
      <c r="AK5" t="s">
        <v>612</v>
      </c>
      <c r="AL5" t="s">
        <v>612</v>
      </c>
      <c r="AM5" t="s">
        <v>612</v>
      </c>
      <c r="AN5" t="s">
        <v>612</v>
      </c>
      <c r="AO5" t="s">
        <v>612</v>
      </c>
      <c r="AP5" t="s">
        <v>612</v>
      </c>
      <c r="AQ5" t="s">
        <v>612</v>
      </c>
      <c r="AR5" t="s">
        <v>612</v>
      </c>
      <c r="AS5" t="s">
        <v>612</v>
      </c>
      <c r="AT5">
        <v>4.20717278765948E-2</v>
      </c>
      <c r="AU5">
        <v>0.37349470353967701</v>
      </c>
      <c r="AV5">
        <v>0.58443356858372797</v>
      </c>
      <c r="AW5">
        <v>0</v>
      </c>
      <c r="AX5">
        <v>0</v>
      </c>
      <c r="AY5">
        <v>0</v>
      </c>
      <c r="AZ5" t="s">
        <v>612</v>
      </c>
      <c r="BA5" t="s">
        <v>612</v>
      </c>
      <c r="BB5" t="s">
        <v>612</v>
      </c>
      <c r="BC5" t="s">
        <v>612</v>
      </c>
      <c r="BD5" t="s">
        <v>612</v>
      </c>
      <c r="BE5" t="s">
        <v>612</v>
      </c>
      <c r="BF5" t="s">
        <v>612</v>
      </c>
      <c r="BG5" t="s">
        <v>612</v>
      </c>
      <c r="BH5" t="s">
        <v>612</v>
      </c>
      <c r="BI5" t="s">
        <v>612</v>
      </c>
      <c r="BJ5" t="s">
        <v>612</v>
      </c>
      <c r="BK5" t="s">
        <v>612</v>
      </c>
      <c r="BL5">
        <v>0.32034908434089898</v>
      </c>
      <c r="BM5">
        <v>1</v>
      </c>
      <c r="BN5">
        <v>1</v>
      </c>
      <c r="BO5">
        <v>529.48402276280797</v>
      </c>
      <c r="BP5">
        <v>0.57479693930102804</v>
      </c>
      <c r="BQ5">
        <v>0.57499999999999996</v>
      </c>
      <c r="BR5">
        <v>0.42532241346153099</v>
      </c>
      <c r="BS5" t="s">
        <v>612</v>
      </c>
      <c r="BT5">
        <v>1</v>
      </c>
      <c r="BU5">
        <v>1</v>
      </c>
      <c r="BV5">
        <v>9.1326170780315297E-2</v>
      </c>
      <c r="BW5">
        <v>9.1326170780315297E-2</v>
      </c>
      <c r="BX5">
        <v>0.1</v>
      </c>
      <c r="BY5">
        <v>0</v>
      </c>
      <c r="BZ5">
        <v>1</v>
      </c>
      <c r="CA5">
        <v>1</v>
      </c>
      <c r="CB5">
        <v>0</v>
      </c>
      <c r="CC5">
        <v>1</v>
      </c>
      <c r="CD5">
        <v>1</v>
      </c>
      <c r="CE5">
        <v>0</v>
      </c>
      <c r="CF5">
        <v>1</v>
      </c>
      <c r="CG5">
        <v>1</v>
      </c>
      <c r="CH5" t="s">
        <v>612</v>
      </c>
      <c r="CI5" t="s">
        <v>612</v>
      </c>
      <c r="CJ5" t="s">
        <v>612</v>
      </c>
      <c r="CK5" t="s">
        <v>612</v>
      </c>
      <c r="CL5" t="s">
        <v>612</v>
      </c>
      <c r="CM5" t="s">
        <v>612</v>
      </c>
      <c r="CN5">
        <v>0.59638031451171203</v>
      </c>
      <c r="CO5">
        <v>1</v>
      </c>
      <c r="CP5">
        <v>1</v>
      </c>
      <c r="CQ5">
        <v>0</v>
      </c>
      <c r="CR5">
        <v>1</v>
      </c>
      <c r="CS5">
        <v>1</v>
      </c>
      <c r="CT5">
        <v>0</v>
      </c>
      <c r="CU5">
        <v>1</v>
      </c>
      <c r="CV5">
        <v>1</v>
      </c>
      <c r="CW5">
        <v>0.68893470752577401</v>
      </c>
      <c r="CX5">
        <v>0.91902010232918696</v>
      </c>
      <c r="CY5">
        <v>0.9</v>
      </c>
      <c r="CZ5">
        <v>1948.9</v>
      </c>
      <c r="DA5">
        <v>0.91902010232918696</v>
      </c>
      <c r="DB5">
        <v>0.9</v>
      </c>
      <c r="DC5" t="s">
        <v>612</v>
      </c>
      <c r="DD5" t="s">
        <v>612</v>
      </c>
      <c r="DE5" t="s">
        <v>612</v>
      </c>
      <c r="DF5" s="292" t="s">
        <v>613</v>
      </c>
      <c r="DG5" s="263" t="s">
        <v>614</v>
      </c>
    </row>
    <row r="6" spans="1:115">
      <c r="L6" s="263"/>
    </row>
    <row r="7" spans="1:115">
      <c r="L7" s="263"/>
    </row>
    <row r="8" spans="1:115">
      <c r="L8" s="263"/>
    </row>
    <row r="9" spans="1:115">
      <c r="L9" s="263"/>
    </row>
    <row r="10" spans="1:115">
      <c r="L10" s="263"/>
    </row>
    <row r="11" spans="1:115">
      <c r="L11" s="263"/>
    </row>
    <row r="12" spans="1:115">
      <c r="L12" s="263"/>
    </row>
    <row r="13" spans="1:115">
      <c r="L13" s="263"/>
    </row>
    <row r="14" spans="1:115">
      <c r="L14" s="263"/>
    </row>
    <row r="15" spans="1:115">
      <c r="L15" s="263"/>
    </row>
    <row r="16" spans="1:115">
      <c r="L16" s="263"/>
    </row>
    <row r="17" spans="12:12">
      <c r="L17" s="263"/>
    </row>
    <row r="18" spans="12:12">
      <c r="L18" s="263"/>
    </row>
    <row r="19" spans="12:12">
      <c r="L19" s="263"/>
    </row>
    <row r="20" spans="12:12">
      <c r="L20" s="263"/>
    </row>
    <row r="21" spans="12:12">
      <c r="L21" s="263"/>
    </row>
    <row r="22" spans="12:12">
      <c r="L22" s="263"/>
    </row>
    <row r="23" spans="12:12">
      <c r="L23" s="263"/>
    </row>
    <row r="24" spans="12:12">
      <c r="L24" s="263"/>
    </row>
    <row r="25" spans="12:12">
      <c r="L25" s="263"/>
    </row>
    <row r="26" spans="12:12">
      <c r="L26" s="263"/>
    </row>
    <row r="27" spans="12:12">
      <c r="L27" s="263"/>
    </row>
    <row r="28" spans="12:12">
      <c r="L28" s="263"/>
    </row>
    <row r="29" spans="12:12">
      <c r="L29" s="263"/>
    </row>
    <row r="30" spans="12:12">
      <c r="L30" s="263"/>
    </row>
    <row r="31" spans="12:12">
      <c r="L31" s="263"/>
    </row>
    <row r="32" spans="12:12">
      <c r="L32" s="263"/>
    </row>
    <row r="33" spans="12:12">
      <c r="L33" s="263"/>
    </row>
    <row r="34" spans="12:12">
      <c r="L34" s="263"/>
    </row>
    <row r="35" spans="12:12">
      <c r="L35" s="263"/>
    </row>
    <row r="36" spans="12:12">
      <c r="L36" s="263"/>
    </row>
    <row r="37" spans="12:12">
      <c r="L37" s="263"/>
    </row>
    <row r="38" spans="12:12">
      <c r="L38" s="263"/>
    </row>
    <row r="39" spans="12:12">
      <c r="L39" s="263"/>
    </row>
    <row r="40" spans="12:12">
      <c r="L40" s="263"/>
    </row>
    <row r="41" spans="12:12">
      <c r="L41" s="263"/>
    </row>
    <row r="42" spans="12:12">
      <c r="L42" s="263"/>
    </row>
    <row r="43" spans="12:12">
      <c r="L43" s="263"/>
    </row>
    <row r="44" spans="12:12">
      <c r="L44" s="263"/>
    </row>
    <row r="45" spans="12:12">
      <c r="L45" s="263"/>
    </row>
    <row r="46" spans="12:12">
      <c r="L46" s="263"/>
    </row>
    <row r="47" spans="12:12">
      <c r="L47" s="263"/>
    </row>
    <row r="48" spans="12:12">
      <c r="L48" s="263"/>
    </row>
    <row r="49" spans="12:12">
      <c r="L49" s="263"/>
    </row>
    <row r="50" spans="12:12">
      <c r="L50" s="263"/>
    </row>
    <row r="51" spans="12:12">
      <c r="L51" s="263"/>
    </row>
    <row r="52" spans="12:12">
      <c r="L52" s="263"/>
    </row>
    <row r="53" spans="12:12">
      <c r="L53" s="263"/>
    </row>
  </sheetData>
  <autoFilter ref="A3:DK3" xr:uid="{9F767598-0489-4402-BD71-1B083649EF11}">
    <sortState xmlns:xlrd2="http://schemas.microsoft.com/office/spreadsheetml/2017/richdata2" ref="A3:DK4">
      <sortCondition ref="F3"/>
    </sortState>
  </autoFilter>
  <pageMargins left="0.7" right="0.7" top="0.75" bottom="0.75" header="0.3" footer="0.3"/>
  <pageSetup orientation="portrait" horizontalDpi="90" verticalDpi="9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C54202-8BF7-4BA0-8814-99412D06D537}">
  <dimension ref="A1:V11"/>
  <sheetViews>
    <sheetView showGridLines="0" workbookViewId="0">
      <selection activeCell="A16" sqref="A16"/>
    </sheetView>
  </sheetViews>
  <sheetFormatPr defaultRowHeight="15"/>
  <cols>
    <col min="1" max="1" width="52.85546875" customWidth="1"/>
    <col min="2" max="2" width="24.5703125" customWidth="1"/>
    <col min="3" max="3" width="31.85546875" customWidth="1"/>
    <col min="4" max="4" width="28.85546875" customWidth="1"/>
    <col min="5" max="5" width="29.5703125" customWidth="1"/>
    <col min="6" max="6" width="14.42578125" customWidth="1"/>
  </cols>
  <sheetData>
    <row r="1" spans="1:22" ht="23.25">
      <c r="A1" s="327" t="s">
        <v>12</v>
      </c>
    </row>
    <row r="2" spans="1:22" ht="51.75" customHeight="1">
      <c r="A2" s="341" t="s">
        <v>13</v>
      </c>
      <c r="B2" s="342"/>
      <c r="C2" s="342"/>
      <c r="D2" s="342"/>
      <c r="E2" s="342"/>
      <c r="F2" s="343"/>
      <c r="G2" s="324"/>
      <c r="H2" s="324"/>
      <c r="I2" s="324"/>
      <c r="J2" s="324"/>
      <c r="K2" s="324"/>
      <c r="L2" s="324"/>
      <c r="M2" s="324"/>
      <c r="N2" s="324"/>
      <c r="O2" s="324"/>
      <c r="P2" s="324"/>
      <c r="Q2" s="324"/>
      <c r="R2" s="324"/>
      <c r="S2" s="324"/>
      <c r="T2" s="324"/>
      <c r="U2" s="324"/>
      <c r="V2" s="324"/>
    </row>
    <row r="3" spans="1:22" ht="39" customHeight="1">
      <c r="A3" s="344" t="s">
        <v>14</v>
      </c>
      <c r="B3" s="345"/>
      <c r="C3" s="345"/>
      <c r="D3" s="345"/>
      <c r="E3" s="345"/>
      <c r="F3" s="346"/>
      <c r="G3" s="324"/>
      <c r="H3" s="324"/>
      <c r="I3" s="324"/>
      <c r="J3" s="324"/>
      <c r="K3" s="324"/>
      <c r="L3" s="324"/>
      <c r="M3" s="324"/>
      <c r="N3" s="324"/>
      <c r="O3" s="324"/>
      <c r="P3" s="324"/>
      <c r="Q3" s="324"/>
      <c r="R3" s="324"/>
      <c r="S3" s="324"/>
      <c r="T3" s="324"/>
      <c r="U3" s="324"/>
      <c r="V3" s="324"/>
    </row>
    <row r="4" spans="1:22" ht="15.75">
      <c r="A4" s="328"/>
      <c r="B4" s="319"/>
      <c r="C4" s="319"/>
      <c r="D4" s="319"/>
      <c r="E4" s="319"/>
      <c r="F4" s="329"/>
      <c r="G4" s="319"/>
      <c r="H4" s="319"/>
      <c r="I4" s="319"/>
      <c r="J4" s="319"/>
      <c r="K4" s="319"/>
      <c r="L4" s="319"/>
      <c r="M4" s="319"/>
      <c r="N4" s="319"/>
      <c r="O4" s="319"/>
      <c r="P4" s="319"/>
      <c r="Q4" s="319"/>
      <c r="R4" s="319"/>
      <c r="S4" s="319"/>
      <c r="T4" s="319"/>
      <c r="U4" s="319"/>
      <c r="V4" s="319"/>
    </row>
    <row r="5" spans="1:22" ht="31.5">
      <c r="A5" s="325" t="s">
        <v>15</v>
      </c>
      <c r="B5" s="326" t="s">
        <v>16</v>
      </c>
      <c r="C5" s="321" t="s">
        <v>17</v>
      </c>
      <c r="D5" s="321" t="s">
        <v>18</v>
      </c>
      <c r="E5" s="321" t="s">
        <v>19</v>
      </c>
      <c r="F5" s="321" t="s">
        <v>20</v>
      </c>
      <c r="G5" s="319"/>
      <c r="H5" s="319"/>
      <c r="I5" s="319"/>
      <c r="J5" s="319"/>
      <c r="K5" s="319"/>
      <c r="L5" s="319"/>
      <c r="M5" s="319"/>
      <c r="N5" s="319"/>
      <c r="O5" s="319"/>
      <c r="P5" s="319"/>
      <c r="Q5" s="319"/>
      <c r="R5" s="319"/>
      <c r="S5" s="319"/>
      <c r="T5" s="319"/>
      <c r="U5" s="319"/>
      <c r="V5" s="319"/>
    </row>
    <row r="6" spans="1:22" ht="15.75">
      <c r="A6" s="325" t="s">
        <v>21</v>
      </c>
      <c r="B6" s="320" t="s">
        <v>22</v>
      </c>
      <c r="C6" s="322">
        <v>0.05</v>
      </c>
      <c r="D6" s="322">
        <v>0.1</v>
      </c>
      <c r="E6" s="323">
        <v>0.1</v>
      </c>
      <c r="F6" s="320" t="s">
        <v>23</v>
      </c>
      <c r="G6" s="319"/>
      <c r="H6" s="319"/>
      <c r="I6" s="319"/>
      <c r="J6" s="319"/>
      <c r="K6" s="319"/>
      <c r="L6" s="319"/>
      <c r="M6" s="319"/>
      <c r="N6" s="319"/>
      <c r="O6" s="319"/>
      <c r="P6" s="319"/>
      <c r="Q6" s="319"/>
      <c r="R6" s="319"/>
      <c r="S6" s="319"/>
      <c r="T6" s="319"/>
      <c r="U6" s="319"/>
      <c r="V6" s="319"/>
    </row>
    <row r="7" spans="1:22" ht="15.75">
      <c r="A7" s="325" t="s">
        <v>24</v>
      </c>
      <c r="B7" s="320" t="s">
        <v>25</v>
      </c>
      <c r="C7" s="322">
        <v>0.25</v>
      </c>
      <c r="D7" s="322">
        <v>0.4</v>
      </c>
      <c r="E7" s="323">
        <v>0.6</v>
      </c>
      <c r="F7" s="320" t="s">
        <v>23</v>
      </c>
      <c r="G7" s="319"/>
      <c r="H7" s="319"/>
      <c r="I7" s="319"/>
      <c r="J7" s="319"/>
      <c r="K7" s="319"/>
      <c r="L7" s="319"/>
      <c r="M7" s="319"/>
      <c r="N7" s="319"/>
      <c r="O7" s="319"/>
      <c r="P7" s="319"/>
      <c r="Q7" s="319"/>
      <c r="R7" s="319"/>
      <c r="S7" s="319"/>
      <c r="T7" s="319"/>
      <c r="U7" s="319"/>
      <c r="V7" s="319"/>
    </row>
    <row r="8" spans="1:22" ht="15.75">
      <c r="A8" s="325" t="s">
        <v>26</v>
      </c>
      <c r="B8" s="320" t="s">
        <v>27</v>
      </c>
      <c r="C8" s="322">
        <v>0.35</v>
      </c>
      <c r="D8" s="322">
        <v>0.25</v>
      </c>
      <c r="E8" s="323">
        <v>0.15</v>
      </c>
      <c r="F8" s="320" t="s">
        <v>28</v>
      </c>
      <c r="G8" s="319"/>
      <c r="H8" s="319"/>
      <c r="I8" s="319"/>
      <c r="J8" s="319"/>
      <c r="K8" s="319"/>
      <c r="L8" s="319"/>
      <c r="M8" s="319"/>
      <c r="N8" s="319"/>
      <c r="O8" s="319"/>
      <c r="P8" s="319"/>
      <c r="Q8" s="319"/>
      <c r="R8" s="319"/>
      <c r="S8" s="319"/>
      <c r="T8" s="319"/>
      <c r="U8" s="319"/>
      <c r="V8" s="319"/>
    </row>
    <row r="9" spans="1:22" ht="15.75">
      <c r="A9" s="325" t="s">
        <v>29</v>
      </c>
      <c r="B9" s="320" t="s">
        <v>30</v>
      </c>
      <c r="C9" s="322">
        <v>0.35</v>
      </c>
      <c r="D9" s="322">
        <v>0.25</v>
      </c>
      <c r="E9" s="323">
        <v>0.15</v>
      </c>
      <c r="F9" s="320" t="s">
        <v>28</v>
      </c>
      <c r="G9" s="319"/>
      <c r="H9" s="319"/>
      <c r="I9" s="319"/>
      <c r="J9" s="319"/>
      <c r="K9" s="319"/>
      <c r="L9" s="319"/>
      <c r="M9" s="319"/>
      <c r="N9" s="319"/>
      <c r="O9" s="319"/>
      <c r="P9" s="319"/>
      <c r="Q9" s="319"/>
      <c r="R9" s="319"/>
      <c r="S9" s="319"/>
      <c r="T9" s="319"/>
      <c r="U9" s="319"/>
      <c r="V9" s="319"/>
    </row>
    <row r="10" spans="1:22" ht="15.75">
      <c r="A10" s="328"/>
      <c r="B10" s="319"/>
      <c r="C10" s="319"/>
      <c r="D10" s="319"/>
      <c r="E10" s="319"/>
      <c r="F10" s="329"/>
      <c r="G10" s="319"/>
      <c r="H10" s="319"/>
      <c r="I10" s="319"/>
      <c r="J10" s="319"/>
      <c r="K10" s="319"/>
      <c r="L10" s="319"/>
      <c r="M10" s="319"/>
      <c r="N10" s="319"/>
      <c r="O10" s="319"/>
      <c r="P10" s="319"/>
      <c r="Q10" s="319"/>
      <c r="R10" s="319"/>
      <c r="S10" s="319"/>
      <c r="T10" s="319"/>
      <c r="U10" s="319"/>
      <c r="V10" s="319"/>
    </row>
    <row r="11" spans="1:22" ht="31.5" customHeight="1">
      <c r="A11" s="347" t="s">
        <v>31</v>
      </c>
      <c r="B11" s="348"/>
      <c r="C11" s="348"/>
      <c r="D11" s="348"/>
      <c r="E11" s="348"/>
      <c r="F11" s="349"/>
      <c r="G11" s="319"/>
      <c r="H11" s="319"/>
      <c r="I11" s="319"/>
      <c r="J11" s="319"/>
      <c r="K11" s="319"/>
      <c r="L11" s="319"/>
      <c r="M11" s="319"/>
      <c r="N11" s="319"/>
      <c r="O11" s="319"/>
      <c r="P11" s="319"/>
      <c r="Q11" s="319"/>
      <c r="R11" s="319"/>
      <c r="S11" s="319"/>
      <c r="T11" s="319"/>
      <c r="U11" s="319"/>
      <c r="V11" s="319"/>
    </row>
  </sheetData>
  <sheetProtection algorithmName="SHA-512" hashValue="zt6NESEgbj4jkYboek8qmEN3AX8+xn0GNAPnByiaKE6+5fFvDEhKtbN6V/WvSw79LyhIo6P1i3uXGDl+SbRGGg==" saltValue="bigfqGhGZUg67iE02M/Z3g==" spinCount="100000" sheet="1" objects="1" scenarios="1"/>
  <mergeCells count="3">
    <mergeCell ref="A2:F2"/>
    <mergeCell ref="A3:F3"/>
    <mergeCell ref="A11:F1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327D0A-5F56-445A-8F8D-2CA9BA019C85}">
  <sheetPr>
    <tabColor theme="9" tint="-0.249977111117893"/>
    <pageSetUpPr fitToPage="1"/>
  </sheetPr>
  <dimension ref="A1:AO199"/>
  <sheetViews>
    <sheetView showGridLines="0" zoomScale="80" zoomScaleNormal="80" workbookViewId="0">
      <selection activeCell="I10" sqref="I10:M10"/>
    </sheetView>
  </sheetViews>
  <sheetFormatPr defaultColWidth="9.42578125" defaultRowHeight="14.25"/>
  <cols>
    <col min="1" max="1" width="5.5703125" style="51" customWidth="1"/>
    <col min="2" max="4" width="5.42578125" style="51" customWidth="1"/>
    <col min="5" max="5" width="14.42578125" style="51" customWidth="1"/>
    <col min="6" max="6" width="15.5703125" style="51" customWidth="1"/>
    <col min="7" max="7" width="13.42578125" style="51" customWidth="1"/>
    <col min="8" max="8" width="1.5703125" style="51" customWidth="1"/>
    <col min="9" max="9" width="42.42578125" style="51" customWidth="1"/>
    <col min="10" max="10" width="1.42578125" style="51" customWidth="1"/>
    <col min="11" max="11" width="42.42578125" style="51" customWidth="1"/>
    <col min="12" max="12" width="2.5703125" style="51" customWidth="1"/>
    <col min="13" max="13" width="20.5703125" style="51" customWidth="1"/>
    <col min="14" max="14" width="5.5703125" style="51" customWidth="1"/>
    <col min="15" max="15" width="35.5703125" style="51" customWidth="1"/>
    <col min="16" max="16" width="2.5703125" style="51" customWidth="1"/>
    <col min="17" max="17" width="14.42578125" style="51" customWidth="1"/>
    <col min="18" max="18" width="2.5703125" style="51" customWidth="1"/>
    <col min="19" max="19" width="0.42578125" style="51" hidden="1" customWidth="1"/>
    <col min="20" max="20" width="0.140625" style="51" customWidth="1"/>
    <col min="21" max="23" width="21.42578125" style="51" customWidth="1"/>
    <col min="24" max="24" width="5.5703125" style="51" customWidth="1"/>
    <col min="25" max="25" width="9.42578125" style="51"/>
    <col min="26" max="26" width="14" style="51" customWidth="1"/>
    <col min="27" max="27" width="22.5703125" style="51" customWidth="1"/>
    <col min="28" max="28" width="16.42578125" style="51" customWidth="1"/>
    <col min="29" max="29" width="9.42578125" style="51"/>
    <col min="30" max="30" width="13" style="51" customWidth="1"/>
    <col min="31" max="31" width="9.42578125" style="51"/>
    <col min="32" max="32" width="11" style="51" customWidth="1"/>
    <col min="33" max="16384" width="9.42578125" style="51"/>
  </cols>
  <sheetData>
    <row r="1" spans="1:30" ht="75" customHeight="1">
      <c r="A1" s="50"/>
      <c r="B1" s="50"/>
      <c r="C1" s="50"/>
      <c r="D1" s="50"/>
      <c r="E1" s="50"/>
      <c r="F1" s="50"/>
      <c r="G1" s="50"/>
      <c r="H1" s="50"/>
      <c r="I1" s="50"/>
      <c r="J1" s="50"/>
      <c r="K1" s="154"/>
      <c r="L1" s="50"/>
      <c r="M1" s="50"/>
      <c r="N1" s="50"/>
      <c r="O1" s="50"/>
      <c r="P1" s="50"/>
      <c r="Q1" s="50"/>
      <c r="R1" s="50"/>
      <c r="S1" s="50"/>
      <c r="T1" s="50"/>
      <c r="U1" s="50"/>
      <c r="V1" s="50"/>
      <c r="W1" s="50"/>
      <c r="X1" s="50"/>
      <c r="Y1" s="116"/>
      <c r="Z1" s="116"/>
      <c r="AA1" s="116"/>
      <c r="AB1" s="116"/>
      <c r="AC1" s="116"/>
      <c r="AD1" s="116"/>
    </row>
    <row r="2" spans="1:30" ht="15" customHeight="1">
      <c r="A2" s="92"/>
      <c r="B2" s="92"/>
      <c r="C2" s="92"/>
      <c r="D2" s="92"/>
      <c r="E2" s="92"/>
      <c r="F2" s="92"/>
      <c r="G2" s="92"/>
      <c r="H2" s="92"/>
      <c r="I2" s="92"/>
      <c r="J2" s="92"/>
      <c r="K2" s="92"/>
      <c r="L2" s="92"/>
      <c r="M2" s="92"/>
      <c r="N2" s="92"/>
      <c r="O2" s="92"/>
      <c r="P2" s="92"/>
      <c r="Q2" s="92"/>
      <c r="R2" s="92"/>
      <c r="S2" s="92"/>
      <c r="T2" s="92"/>
      <c r="U2" s="92"/>
      <c r="V2" s="92"/>
      <c r="W2" s="92"/>
      <c r="X2" s="92"/>
      <c r="Y2" s="116"/>
      <c r="Z2" s="116"/>
      <c r="AA2" s="116"/>
      <c r="AB2" s="116"/>
      <c r="AC2" s="116"/>
      <c r="AD2" s="116"/>
    </row>
    <row r="3" spans="1:30" ht="30.75" customHeight="1">
      <c r="A3" s="92"/>
      <c r="B3" s="76" t="s">
        <v>32</v>
      </c>
      <c r="C3" s="16"/>
      <c r="D3" s="16"/>
      <c r="E3" s="92"/>
      <c r="F3" s="92"/>
      <c r="G3" s="92"/>
      <c r="H3" s="92"/>
      <c r="I3" s="92"/>
      <c r="J3" s="92"/>
      <c r="K3" s="92"/>
      <c r="L3" s="92"/>
      <c r="M3" s="92"/>
      <c r="N3" s="92"/>
      <c r="O3" s="92"/>
      <c r="P3" s="92"/>
      <c r="Q3" s="92"/>
      <c r="R3" s="92"/>
      <c r="S3" s="92"/>
      <c r="T3" s="92"/>
      <c r="U3" s="92"/>
      <c r="V3" s="92"/>
      <c r="W3" s="17" t="str">
        <f>'Front Cover'!W3</f>
        <v>September 2025</v>
      </c>
      <c r="X3" s="92"/>
      <c r="Y3" s="116"/>
      <c r="Z3" s="116"/>
      <c r="AA3" s="116"/>
      <c r="AB3" s="116"/>
      <c r="AC3" s="116"/>
      <c r="AD3" s="116"/>
    </row>
    <row r="4" spans="1:30" ht="15" customHeight="1">
      <c r="A4" s="92"/>
      <c r="B4" s="16"/>
      <c r="C4" s="16"/>
      <c r="D4" s="16"/>
      <c r="E4" s="92"/>
      <c r="F4" s="92"/>
      <c r="G4" s="92"/>
      <c r="H4" s="92"/>
      <c r="I4" s="92"/>
      <c r="J4" s="92"/>
      <c r="K4" s="92"/>
      <c r="L4" s="92"/>
      <c r="M4" s="92"/>
      <c r="N4" s="92"/>
      <c r="O4" s="92"/>
      <c r="P4" s="92"/>
      <c r="Q4" s="92"/>
      <c r="R4" s="92"/>
      <c r="S4" s="92"/>
      <c r="T4" s="92"/>
      <c r="U4" s="92"/>
      <c r="V4" s="92"/>
      <c r="W4" s="17"/>
      <c r="X4" s="92"/>
      <c r="Y4" s="116"/>
      <c r="Z4" s="116"/>
      <c r="AA4" s="116"/>
      <c r="AB4" s="116"/>
      <c r="AC4" s="116"/>
      <c r="AD4" s="116"/>
    </row>
    <row r="5" spans="1:30" ht="15" customHeight="1">
      <c r="A5" s="92"/>
      <c r="B5" s="3"/>
      <c r="C5" s="3"/>
      <c r="D5" s="3"/>
      <c r="E5" s="92"/>
      <c r="F5" s="92"/>
      <c r="G5" s="92"/>
      <c r="H5" s="92"/>
      <c r="I5" s="92"/>
      <c r="J5" s="92"/>
      <c r="K5" s="92"/>
      <c r="L5" s="92"/>
      <c r="M5" s="92"/>
      <c r="N5" s="92"/>
      <c r="O5" s="92"/>
      <c r="P5" s="92"/>
      <c r="Q5" s="117"/>
      <c r="R5" s="118"/>
      <c r="S5" s="118"/>
      <c r="T5" s="118"/>
      <c r="U5" s="118"/>
      <c r="V5" s="119"/>
      <c r="W5" s="116"/>
      <c r="X5" s="116"/>
      <c r="Y5" s="116"/>
      <c r="Z5" s="116"/>
      <c r="AA5" s="116"/>
      <c r="AB5" s="116"/>
      <c r="AC5" s="116"/>
      <c r="AD5" s="116"/>
    </row>
    <row r="6" spans="1:30" ht="15" customHeight="1">
      <c r="A6" s="92"/>
      <c r="B6" s="352" t="s">
        <v>33</v>
      </c>
      <c r="C6" s="377"/>
      <c r="D6" s="377"/>
      <c r="E6" s="377"/>
      <c r="F6" s="377"/>
      <c r="G6" s="353"/>
      <c r="H6" s="57"/>
      <c r="I6" s="378" t="str">
        <f>IF(I10=" &lt;&lt;&lt; Select Index &gt;&gt;&gt;","",VLOOKUP(I10,'Universe to PAct mapping'!A:J,COLUMN(I1),FALSE))</f>
        <v>VanEck Multi-Asset Allocation Indices Methodology</v>
      </c>
      <c r="J6" s="379"/>
      <c r="K6" s="379"/>
      <c r="L6" s="379"/>
      <c r="M6" s="380"/>
      <c r="N6" s="92"/>
      <c r="O6" s="21"/>
      <c r="P6" s="37"/>
      <c r="Q6" s="120"/>
      <c r="R6" s="94"/>
      <c r="S6" s="121"/>
      <c r="T6" s="121"/>
      <c r="U6" s="121"/>
      <c r="V6" s="102" t="s">
        <v>34</v>
      </c>
      <c r="W6" s="122"/>
      <c r="X6" s="116"/>
      <c r="Y6" s="116"/>
      <c r="Z6" s="116"/>
      <c r="AA6" s="116"/>
      <c r="AB6" s="116"/>
      <c r="AC6" s="116"/>
      <c r="AD6" s="116"/>
    </row>
    <row r="7" spans="1:30" ht="4.5" customHeight="1">
      <c r="A7" s="92"/>
      <c r="B7" s="9"/>
      <c r="C7" s="9"/>
      <c r="D7" s="9"/>
      <c r="E7" s="9"/>
      <c r="F7" s="10"/>
      <c r="G7" s="10"/>
      <c r="H7" s="58"/>
      <c r="I7" s="19"/>
      <c r="J7" s="19"/>
      <c r="K7" s="19"/>
      <c r="L7" s="19"/>
      <c r="M7" s="19"/>
      <c r="N7" s="92"/>
      <c r="O7" s="20"/>
      <c r="P7" s="123"/>
      <c r="Q7" s="120"/>
      <c r="R7" s="124"/>
      <c r="S7" s="124"/>
      <c r="T7" s="116"/>
      <c r="U7" s="116"/>
      <c r="V7" s="125"/>
      <c r="W7" s="116"/>
      <c r="X7" s="116"/>
      <c r="Y7" s="116"/>
      <c r="Z7" s="116"/>
      <c r="AA7" s="116"/>
      <c r="AB7" s="116"/>
      <c r="AC7" s="116"/>
      <c r="AD7" s="116"/>
    </row>
    <row r="8" spans="1:30" ht="15" customHeight="1">
      <c r="A8" s="92"/>
      <c r="B8" s="352" t="s">
        <v>35</v>
      </c>
      <c r="C8" s="377"/>
      <c r="D8" s="377"/>
      <c r="E8" s="377"/>
      <c r="F8" s="377"/>
      <c r="G8" s="353"/>
      <c r="H8" s="57"/>
      <c r="I8" s="378" t="str">
        <f>IF(I10=" &lt;&lt;&lt; Select Index &gt;&gt;&gt;","",VLOOKUP(I10,'Universe to PAct mapping'!A:L,COLUMN(H1), FALSE))</f>
        <v>S&amp;P Global BMI</v>
      </c>
      <c r="J8" s="379"/>
      <c r="K8" s="379"/>
      <c r="L8" s="379"/>
      <c r="M8" s="380"/>
      <c r="N8" s="92"/>
      <c r="O8" s="21"/>
      <c r="P8" s="37"/>
      <c r="Q8" s="126"/>
      <c r="R8" s="103"/>
      <c r="S8" s="127"/>
      <c r="T8" s="128"/>
      <c r="U8" s="128"/>
      <c r="V8" s="129"/>
      <c r="W8" s="96"/>
      <c r="X8" s="116"/>
      <c r="Y8" s="116"/>
      <c r="Z8" s="116"/>
      <c r="AA8" s="116"/>
      <c r="AB8" s="116"/>
      <c r="AC8" s="116"/>
      <c r="AD8" s="116"/>
    </row>
    <row r="9" spans="1:30" ht="4.5" customHeight="1" thickBot="1">
      <c r="A9" s="92"/>
      <c r="B9" s="11"/>
      <c r="C9" s="11"/>
      <c r="D9" s="11"/>
      <c r="E9" s="12"/>
      <c r="F9" s="11"/>
      <c r="G9" s="11"/>
      <c r="H9" s="59"/>
      <c r="I9" s="59"/>
      <c r="J9" s="59"/>
      <c r="K9" s="59"/>
      <c r="L9" s="59"/>
      <c r="M9" s="59"/>
      <c r="N9" s="92"/>
      <c r="O9" s="60"/>
      <c r="P9" s="92"/>
      <c r="Q9" s="124"/>
      <c r="R9" s="124"/>
      <c r="S9" s="124"/>
      <c r="T9" s="116"/>
      <c r="U9" s="116"/>
      <c r="V9" s="116"/>
      <c r="W9" s="116"/>
      <c r="X9" s="116"/>
      <c r="Y9" s="116"/>
      <c r="Z9" s="116"/>
      <c r="AA9" s="116"/>
      <c r="AB9" s="116"/>
      <c r="AC9" s="116"/>
      <c r="AD9" s="116"/>
    </row>
    <row r="10" spans="1:30" ht="15" customHeight="1" thickBot="1">
      <c r="A10" s="92"/>
      <c r="B10" s="381" t="s">
        <v>36</v>
      </c>
      <c r="C10" s="382"/>
      <c r="D10" s="382"/>
      <c r="E10" s="382"/>
      <c r="F10" s="382"/>
      <c r="G10" s="383"/>
      <c r="H10" s="61"/>
      <c r="I10" s="384" t="s">
        <v>37</v>
      </c>
      <c r="J10" s="385"/>
      <c r="K10" s="385"/>
      <c r="L10" s="385"/>
      <c r="M10" s="386"/>
      <c r="N10" s="92"/>
      <c r="O10" s="22"/>
      <c r="P10" s="92"/>
      <c r="Q10" s="97"/>
      <c r="R10" s="130"/>
      <c r="S10" s="97"/>
      <c r="T10" s="116"/>
      <c r="U10" s="116"/>
      <c r="V10" s="116"/>
      <c r="W10" s="96"/>
      <c r="X10" s="116"/>
      <c r="Y10" s="116"/>
      <c r="Z10" s="116"/>
      <c r="AA10" s="116"/>
      <c r="AB10" s="116"/>
      <c r="AC10" s="116"/>
      <c r="AD10" s="116"/>
    </row>
    <row r="11" spans="1:30" ht="7.5" customHeight="1" thickBot="1">
      <c r="A11" s="92"/>
      <c r="B11" s="5"/>
      <c r="C11" s="5"/>
      <c r="D11" s="5"/>
      <c r="E11" s="6"/>
      <c r="F11" s="7"/>
      <c r="G11" s="5"/>
      <c r="H11" s="62"/>
      <c r="I11" s="60"/>
      <c r="J11" s="60"/>
      <c r="K11" s="62"/>
      <c r="L11" s="60"/>
      <c r="M11" s="62"/>
      <c r="N11" s="60"/>
      <c r="O11" s="60"/>
      <c r="P11" s="123"/>
      <c r="Q11" s="124"/>
      <c r="R11" s="124"/>
      <c r="S11" s="124"/>
      <c r="T11" s="116"/>
      <c r="U11" s="116"/>
      <c r="V11" s="116"/>
      <c r="W11" s="116"/>
      <c r="X11" s="116"/>
      <c r="Y11" s="116"/>
      <c r="Z11" s="116"/>
      <c r="AA11" s="116"/>
      <c r="AB11" s="116"/>
      <c r="AC11" s="116"/>
      <c r="AD11" s="116"/>
    </row>
    <row r="12" spans="1:30" ht="15" customHeight="1" thickBot="1">
      <c r="A12" s="92"/>
      <c r="B12" s="5"/>
      <c r="C12" s="5"/>
      <c r="D12" s="5"/>
      <c r="E12" s="6"/>
      <c r="F12" s="352" t="s">
        <v>38</v>
      </c>
      <c r="G12" s="353"/>
      <c r="H12" s="61"/>
      <c r="I12" s="82">
        <f>'Index and date'!L3</f>
        <v>45922</v>
      </c>
      <c r="J12" s="26"/>
      <c r="K12" s="92"/>
      <c r="L12" s="60"/>
      <c r="M12" s="62"/>
      <c r="N12" s="60"/>
      <c r="O12" s="60"/>
      <c r="P12" s="39"/>
      <c r="Q12" s="124"/>
      <c r="R12" s="98"/>
      <c r="S12" s="98"/>
      <c r="T12" s="98"/>
      <c r="U12" s="98"/>
      <c r="V12" s="98"/>
      <c r="W12" s="116"/>
      <c r="X12" s="116"/>
      <c r="Y12" s="116"/>
      <c r="Z12" s="116"/>
      <c r="AA12" s="116"/>
      <c r="AB12" s="116"/>
      <c r="AC12" s="116"/>
      <c r="AD12" s="116"/>
    </row>
    <row r="13" spans="1:30" ht="15" customHeight="1">
      <c r="A13" s="92"/>
      <c r="B13" s="5"/>
      <c r="C13" s="5"/>
      <c r="D13" s="5"/>
      <c r="E13" s="6"/>
      <c r="F13" s="7"/>
      <c r="G13" s="5"/>
      <c r="H13" s="62"/>
      <c r="I13" s="60"/>
      <c r="J13" s="60"/>
      <c r="K13" s="62"/>
      <c r="L13" s="60"/>
      <c r="M13" s="62"/>
      <c r="N13" s="60"/>
      <c r="O13" s="60"/>
      <c r="P13" s="36"/>
      <c r="Q13" s="116"/>
      <c r="R13" s="124"/>
      <c r="S13" s="124"/>
      <c r="T13" s="116"/>
      <c r="U13" s="116"/>
      <c r="V13" s="116"/>
      <c r="W13" s="100"/>
      <c r="X13" s="98"/>
      <c r="Y13" s="39"/>
      <c r="Z13" s="39"/>
      <c r="AA13" s="39"/>
      <c r="AB13" s="39"/>
      <c r="AC13" s="39"/>
      <c r="AD13" s="39"/>
    </row>
    <row r="14" spans="1:30" ht="15" customHeight="1">
      <c r="A14" s="92"/>
      <c r="B14" s="116"/>
      <c r="C14" s="8"/>
      <c r="D14" s="8"/>
      <c r="E14" s="92"/>
      <c r="F14" s="92"/>
      <c r="G14" s="92"/>
      <c r="H14" s="92"/>
      <c r="I14" s="92"/>
      <c r="J14" s="92"/>
      <c r="K14" s="92"/>
      <c r="L14" s="92"/>
      <c r="M14" s="92"/>
      <c r="N14" s="92"/>
      <c r="O14" s="92"/>
      <c r="P14" s="92"/>
      <c r="Q14" s="116"/>
      <c r="R14" s="98"/>
      <c r="S14" s="98"/>
      <c r="T14" s="98"/>
      <c r="U14" s="98"/>
      <c r="V14" s="98"/>
      <c r="W14" s="101"/>
      <c r="X14" s="116"/>
      <c r="Y14" s="116"/>
      <c r="Z14" s="116"/>
      <c r="AA14" s="116"/>
      <c r="AB14" s="116"/>
      <c r="AC14" s="116"/>
      <c r="AD14" s="116"/>
    </row>
    <row r="15" spans="1:30" ht="21" customHeight="1">
      <c r="A15" s="92"/>
      <c r="B15" s="8" t="s">
        <v>39</v>
      </c>
      <c r="C15" s="8"/>
      <c r="D15" s="8"/>
      <c r="E15" s="92"/>
      <c r="F15" s="92"/>
      <c r="G15" s="92"/>
      <c r="H15" s="92"/>
      <c r="I15" s="92"/>
      <c r="J15" s="92"/>
      <c r="K15" s="92"/>
      <c r="L15" s="92"/>
      <c r="M15" s="92"/>
      <c r="N15" s="92"/>
      <c r="O15" s="92"/>
      <c r="P15" s="92"/>
      <c r="Q15" s="92"/>
      <c r="R15" s="92"/>
      <c r="S15" s="92"/>
      <c r="T15" s="92"/>
      <c r="U15" s="92"/>
      <c r="V15" s="92"/>
      <c r="W15" s="92"/>
      <c r="X15" s="92"/>
      <c r="Y15" s="116"/>
      <c r="Z15" s="116"/>
      <c r="AA15" s="116"/>
      <c r="AB15" s="116"/>
      <c r="AC15" s="116"/>
      <c r="AD15" s="116"/>
    </row>
    <row r="16" spans="1:30" ht="7.5" customHeight="1">
      <c r="A16" s="92"/>
      <c r="B16" s="8"/>
      <c r="C16" s="8"/>
      <c r="D16" s="8"/>
      <c r="E16" s="92"/>
      <c r="F16" s="92"/>
      <c r="G16" s="92"/>
      <c r="H16" s="92"/>
      <c r="I16" s="92"/>
      <c r="J16" s="92"/>
      <c r="K16" s="92"/>
      <c r="L16" s="92"/>
      <c r="M16" s="92"/>
      <c r="N16" s="92"/>
      <c r="O16" s="92"/>
      <c r="P16" s="92"/>
      <c r="Q16" s="92"/>
      <c r="R16" s="92"/>
      <c r="S16" s="92"/>
      <c r="T16" s="92"/>
      <c r="U16" s="92"/>
      <c r="V16" s="92"/>
      <c r="W16" s="92"/>
      <c r="X16" s="92"/>
      <c r="Y16" s="116"/>
      <c r="Z16" s="116"/>
      <c r="AA16" s="116"/>
      <c r="AB16" s="116"/>
      <c r="AC16" s="116"/>
      <c r="AD16" s="116"/>
    </row>
    <row r="17" spans="1:25" ht="51.75" customHeight="1">
      <c r="A17" s="92"/>
      <c r="B17" s="354" t="s">
        <v>40</v>
      </c>
      <c r="C17" s="354"/>
      <c r="D17" s="354"/>
      <c r="E17" s="354"/>
      <c r="F17" s="354"/>
      <c r="G17" s="354"/>
      <c r="H17" s="354"/>
      <c r="I17" s="354"/>
      <c r="J17" s="354"/>
      <c r="K17" s="354"/>
      <c r="L17" s="354"/>
      <c r="M17" s="354"/>
      <c r="N17" s="354"/>
      <c r="O17" s="354"/>
      <c r="P17" s="354"/>
      <c r="Q17" s="354"/>
      <c r="R17" s="354"/>
      <c r="S17" s="354"/>
      <c r="T17" s="354"/>
      <c r="U17" s="354"/>
      <c r="V17" s="354"/>
      <c r="W17" s="354"/>
      <c r="X17" s="92"/>
      <c r="Y17" s="116"/>
    </row>
    <row r="18" spans="1:25" ht="7.5" customHeight="1">
      <c r="A18" s="92"/>
      <c r="B18" s="92"/>
      <c r="C18" s="92"/>
      <c r="D18" s="92"/>
      <c r="E18" s="92"/>
      <c r="F18" s="92"/>
      <c r="G18" s="92"/>
      <c r="H18" s="92"/>
      <c r="I18" s="92"/>
      <c r="J18" s="92"/>
      <c r="K18" s="92"/>
      <c r="L18" s="92"/>
      <c r="M18" s="92"/>
      <c r="N18" s="92"/>
      <c r="O18" s="92"/>
      <c r="P18" s="92"/>
      <c r="Q18" s="92"/>
      <c r="R18" s="92"/>
      <c r="S18" s="92"/>
      <c r="T18" s="92"/>
      <c r="U18" s="92"/>
      <c r="V18" s="92"/>
      <c r="W18" s="92"/>
      <c r="X18" s="92"/>
      <c r="Y18" s="116"/>
    </row>
    <row r="19" spans="1:25" ht="18">
      <c r="A19" s="92"/>
      <c r="B19" s="29" t="s">
        <v>41</v>
      </c>
      <c r="C19" s="4"/>
      <c r="D19" s="4"/>
      <c r="E19" s="92"/>
      <c r="F19" s="92"/>
      <c r="G19" s="92"/>
      <c r="H19" s="92"/>
      <c r="I19" s="92"/>
      <c r="J19" s="92"/>
      <c r="K19" s="92"/>
      <c r="L19" s="92"/>
      <c r="M19" s="92"/>
      <c r="N19" s="92"/>
      <c r="O19" s="4"/>
      <c r="P19" s="92"/>
      <c r="Q19" s="92"/>
      <c r="R19" s="92"/>
      <c r="S19" s="92"/>
      <c r="T19" s="92"/>
      <c r="U19" s="92"/>
      <c r="V19" s="92"/>
      <c r="W19" s="92"/>
      <c r="X19" s="92"/>
      <c r="Y19" s="116"/>
    </row>
    <row r="20" spans="1:25" ht="7.5" customHeight="1">
      <c r="A20" s="92"/>
      <c r="B20" s="92"/>
      <c r="C20" s="92"/>
      <c r="D20" s="92"/>
      <c r="E20" s="92"/>
      <c r="F20" s="92"/>
      <c r="G20" s="92"/>
      <c r="H20" s="92"/>
      <c r="I20" s="92"/>
      <c r="J20" s="92"/>
      <c r="K20" s="92"/>
      <c r="L20" s="92"/>
      <c r="M20" s="92"/>
      <c r="N20" s="92"/>
      <c r="O20" s="92"/>
      <c r="P20" s="92"/>
      <c r="Q20" s="92"/>
      <c r="R20" s="92"/>
      <c r="S20" s="92"/>
      <c r="T20" s="92"/>
      <c r="U20" s="92"/>
      <c r="V20" s="92"/>
      <c r="W20" s="92"/>
      <c r="X20" s="92"/>
      <c r="Y20" s="116"/>
    </row>
    <row r="21" spans="1:25" ht="45" customHeight="1">
      <c r="A21" s="92"/>
      <c r="B21" s="355"/>
      <c r="C21" s="355"/>
      <c r="D21" s="355"/>
      <c r="E21" s="356" t="s">
        <v>42</v>
      </c>
      <c r="F21" s="356"/>
      <c r="G21" s="356"/>
      <c r="H21" s="92"/>
      <c r="I21" s="136" t="str">
        <f>I8</f>
        <v>S&amp;P Global BMI</v>
      </c>
      <c r="J21" s="92"/>
      <c r="K21" s="63" t="str">
        <f>IF(I10=" &lt;&lt;&lt; Select Index &gt;&gt;&gt;","",I10)</f>
        <v>GPR Global 100 Index</v>
      </c>
      <c r="L21" s="92"/>
      <c r="M21" s="137" t="s">
        <v>43</v>
      </c>
      <c r="N21" s="92"/>
      <c r="O21" s="138" t="s">
        <v>44</v>
      </c>
      <c r="P21" s="92"/>
      <c r="Q21" s="31" t="s">
        <v>45</v>
      </c>
      <c r="R21" s="64"/>
      <c r="S21" s="25" t="s">
        <v>46</v>
      </c>
      <c r="T21" s="92"/>
      <c r="U21" s="357" t="s">
        <v>47</v>
      </c>
      <c r="V21" s="357"/>
      <c r="W21" s="357"/>
      <c r="X21" s="92"/>
      <c r="Y21" s="116"/>
    </row>
    <row r="22" spans="1:25" ht="7.5" customHeight="1">
      <c r="A22" s="92"/>
      <c r="B22" s="92"/>
      <c r="C22" s="92"/>
      <c r="D22" s="92"/>
      <c r="E22" s="92"/>
      <c r="F22" s="92"/>
      <c r="G22" s="92"/>
      <c r="H22" s="92"/>
      <c r="I22" s="92"/>
      <c r="J22" s="92"/>
      <c r="K22" s="92"/>
      <c r="L22" s="92"/>
      <c r="M22" s="92"/>
      <c r="N22" s="92"/>
      <c r="O22" s="92"/>
      <c r="P22" s="92"/>
      <c r="Q22" s="92"/>
      <c r="R22" s="92"/>
      <c r="S22" s="92"/>
      <c r="T22" s="92"/>
      <c r="U22" s="92"/>
      <c r="V22" s="92"/>
      <c r="W22" s="92"/>
      <c r="X22" s="92"/>
      <c r="Y22" s="116"/>
    </row>
    <row r="23" spans="1:25" ht="45" customHeight="1">
      <c r="A23" s="92"/>
      <c r="B23" s="92"/>
      <c r="C23" s="92"/>
      <c r="D23" s="92"/>
      <c r="E23" s="358" t="s">
        <v>48</v>
      </c>
      <c r="F23" s="358"/>
      <c r="G23" s="359"/>
      <c r="H23" s="92"/>
      <c r="I23" s="65">
        <f>VLOOKUP(I21&amp;I12, 'DATABASE_SPACE '!A:CG, COLUMN(K1), FALSE)</f>
        <v>46.449732410918003</v>
      </c>
      <c r="J23" s="66"/>
      <c r="K23" s="159">
        <f>VLOOKUP(K21 &amp; I12, 'DATABASE_SPACE '!A:CG, COLUMN(K1), FALSE)</f>
        <v>69.317863500000001</v>
      </c>
      <c r="L23" s="67"/>
      <c r="M23" s="84" t="str">
        <f>IF(K23-I23&lt;0, ROUND(K23-I23, 2), IF(K23-I23=0, 0, "+" &amp; ROUND(K23-I23, 2)))</f>
        <v>+22.87</v>
      </c>
      <c r="N23" s="92"/>
      <c r="O23" s="68" t="s">
        <v>49</v>
      </c>
      <c r="P23" s="92"/>
      <c r="Q23" s="69" t="s">
        <v>50</v>
      </c>
      <c r="R23" s="92"/>
      <c r="S23" s="27"/>
      <c r="T23" s="92"/>
      <c r="U23" s="360" t="s">
        <v>51</v>
      </c>
      <c r="V23" s="361"/>
      <c r="W23" s="362"/>
      <c r="X23" s="92"/>
      <c r="Y23" s="116"/>
    </row>
    <row r="24" spans="1:25" ht="7.5" customHeight="1">
      <c r="A24" s="92"/>
      <c r="B24" s="92"/>
      <c r="C24" s="92"/>
      <c r="D24" s="92"/>
      <c r="E24" s="92"/>
      <c r="F24" s="92"/>
      <c r="G24" s="92"/>
      <c r="H24" s="92"/>
      <c r="I24" s="92"/>
      <c r="J24" s="92"/>
      <c r="K24" s="92"/>
      <c r="L24" s="92"/>
      <c r="M24" s="92"/>
      <c r="N24" s="92"/>
      <c r="O24" s="92"/>
      <c r="P24" s="92"/>
      <c r="Q24" s="92"/>
      <c r="R24" s="92"/>
      <c r="S24" s="92"/>
      <c r="T24" s="92"/>
      <c r="U24" s="92"/>
      <c r="V24" s="92"/>
      <c r="W24" s="92"/>
      <c r="X24" s="92"/>
      <c r="Y24" s="116"/>
    </row>
    <row r="25" spans="1:25" ht="15" customHeight="1">
      <c r="A25" s="92"/>
      <c r="B25" s="92"/>
      <c r="C25" s="92"/>
      <c r="D25" s="92"/>
      <c r="E25" s="92"/>
      <c r="F25" s="92"/>
      <c r="G25" s="92"/>
      <c r="H25" s="92"/>
      <c r="I25" s="92"/>
      <c r="J25" s="92"/>
      <c r="K25" s="92"/>
      <c r="L25" s="92"/>
      <c r="M25" s="92"/>
      <c r="N25" s="92"/>
      <c r="O25" s="92"/>
      <c r="P25" s="92"/>
      <c r="Q25" s="92"/>
      <c r="R25" s="92"/>
      <c r="S25" s="92"/>
      <c r="T25" s="92"/>
      <c r="U25" s="92"/>
      <c r="V25" s="92"/>
      <c r="W25" s="92"/>
      <c r="X25" s="92"/>
      <c r="Y25" s="116"/>
    </row>
    <row r="26" spans="1:25" s="56" customFormat="1" ht="18.75" customHeight="1">
      <c r="A26" s="93"/>
      <c r="B26" s="28" t="s">
        <v>52</v>
      </c>
      <c r="C26" s="92"/>
      <c r="D26" s="92"/>
      <c r="E26" s="92"/>
      <c r="F26" s="92"/>
      <c r="G26" s="92"/>
      <c r="H26" s="92"/>
      <c r="I26" s="92"/>
      <c r="J26" s="92"/>
      <c r="K26" s="92"/>
      <c r="L26" s="92"/>
      <c r="M26" s="92"/>
      <c r="N26" s="92"/>
      <c r="O26" s="92"/>
      <c r="P26" s="92"/>
      <c r="Q26" s="92"/>
      <c r="R26" s="92"/>
      <c r="S26" s="92"/>
      <c r="T26" s="92"/>
      <c r="U26" s="92"/>
      <c r="V26" s="92"/>
      <c r="W26" s="92"/>
      <c r="X26" s="93"/>
      <c r="Y26" s="116"/>
    </row>
    <row r="27" spans="1:25" s="56" customFormat="1" ht="7.5" customHeight="1">
      <c r="A27" s="93"/>
      <c r="B27" s="92"/>
      <c r="C27" s="92"/>
      <c r="D27" s="92"/>
      <c r="E27" s="92"/>
      <c r="F27" s="92"/>
      <c r="G27" s="92"/>
      <c r="H27" s="92"/>
      <c r="I27" s="92"/>
      <c r="J27" s="92"/>
      <c r="K27" s="92"/>
      <c r="L27" s="92"/>
      <c r="M27" s="92"/>
      <c r="N27" s="92"/>
      <c r="O27" s="92"/>
      <c r="P27" s="92"/>
      <c r="Q27" s="92"/>
      <c r="R27" s="92"/>
      <c r="S27" s="92"/>
      <c r="T27" s="92"/>
      <c r="U27" s="92"/>
      <c r="V27" s="92"/>
      <c r="W27" s="92"/>
      <c r="X27" s="93"/>
      <c r="Y27" s="116"/>
    </row>
    <row r="28" spans="1:25" s="56" customFormat="1" ht="45" customHeight="1">
      <c r="A28" s="93"/>
      <c r="B28" s="387" t="str">
        <f>I21&amp;I12</f>
        <v>S&amp;P Global BMI45922</v>
      </c>
      <c r="C28" s="355"/>
      <c r="D28" s="355"/>
      <c r="E28" s="356" t="s">
        <v>42</v>
      </c>
      <c r="F28" s="356"/>
      <c r="G28" s="356"/>
      <c r="H28" s="92"/>
      <c r="I28" s="136" t="str">
        <f>I8</f>
        <v>S&amp;P Global BMI</v>
      </c>
      <c r="J28" s="92"/>
      <c r="K28" s="70" t="str">
        <f>IF(I10=" &lt;&lt;&lt; Select Index &gt;&gt;&gt;","",I10)</f>
        <v>GPR Global 100 Index</v>
      </c>
      <c r="L28" s="92"/>
      <c r="M28" s="137" t="s">
        <v>43</v>
      </c>
      <c r="N28" s="92"/>
      <c r="O28" s="148" t="s">
        <v>44</v>
      </c>
      <c r="P28" s="92"/>
      <c r="Q28" s="31" t="s">
        <v>45</v>
      </c>
      <c r="R28" s="64"/>
      <c r="S28" s="25" t="s">
        <v>46</v>
      </c>
      <c r="T28" s="92"/>
      <c r="U28" s="357" t="s">
        <v>47</v>
      </c>
      <c r="V28" s="357"/>
      <c r="W28" s="357"/>
      <c r="X28" s="93"/>
      <c r="Y28" s="132"/>
    </row>
    <row r="29" spans="1:25" s="56" customFormat="1" ht="7.5" customHeight="1">
      <c r="A29" s="93"/>
      <c r="B29" s="25"/>
      <c r="C29" s="25"/>
      <c r="D29" s="25"/>
      <c r="E29" s="92"/>
      <c r="F29" s="92"/>
      <c r="G29" s="92"/>
      <c r="H29" s="92"/>
      <c r="I29" s="133"/>
      <c r="J29" s="92"/>
      <c r="K29" s="31"/>
      <c r="L29" s="92"/>
      <c r="M29" s="133"/>
      <c r="N29" s="92"/>
      <c r="O29" s="23"/>
      <c r="P29" s="64"/>
      <c r="Q29" s="24"/>
      <c r="R29" s="64"/>
      <c r="S29" s="24"/>
      <c r="T29" s="64"/>
      <c r="U29" s="23"/>
      <c r="V29" s="23"/>
      <c r="W29" s="23"/>
      <c r="X29" s="93"/>
      <c r="Y29" s="132"/>
    </row>
    <row r="30" spans="1:25" s="56" customFormat="1" ht="60" customHeight="1">
      <c r="A30" s="93"/>
      <c r="B30" s="92"/>
      <c r="C30" s="92"/>
      <c r="D30" s="92"/>
      <c r="E30" s="371" t="s">
        <v>53</v>
      </c>
      <c r="F30" s="371"/>
      <c r="G30" s="372"/>
      <c r="H30" s="92"/>
      <c r="I30" s="160">
        <f>VLOOKUP(I21 &amp; I12, 'DATABASE_SPACE '!A:DC, COLUMN(N1), FALSE)</f>
        <v>50.733629603294901</v>
      </c>
      <c r="J30" s="161"/>
      <c r="K30" s="159">
        <f>VLOOKUP(K21 &amp; I12, 'DATABASE_SPACE '!A:DC, COLUMN(N1), FALSE)</f>
        <v>73.26699155</v>
      </c>
      <c r="L30" s="67"/>
      <c r="M30" s="85" t="str">
        <f>IF(K30-I30&lt;0, ROUND(K30-I30, 2), IF(K30-I30=0, "0", "+" &amp; ROUND(K30-I30, 2)))</f>
        <v>+22.53</v>
      </c>
      <c r="N30" s="92"/>
      <c r="O30" s="313" t="s">
        <v>54</v>
      </c>
      <c r="P30" s="92"/>
      <c r="Q30" s="69" t="s">
        <v>55</v>
      </c>
      <c r="R30" s="92"/>
      <c r="S30" s="27"/>
      <c r="T30" s="92"/>
      <c r="U30" s="360" t="s">
        <v>56</v>
      </c>
      <c r="V30" s="361"/>
      <c r="W30" s="362"/>
      <c r="X30" s="93"/>
      <c r="Y30" s="132"/>
    </row>
    <row r="31" spans="1:25" s="56" customFormat="1" ht="6" customHeight="1">
      <c r="A31" s="93"/>
      <c r="B31" s="92"/>
      <c r="C31" s="92"/>
      <c r="D31" s="92"/>
      <c r="E31" s="67"/>
      <c r="F31" s="67"/>
      <c r="G31" s="67"/>
      <c r="H31" s="92"/>
      <c r="I31" s="116"/>
      <c r="J31" s="116"/>
      <c r="K31" s="116"/>
      <c r="L31" s="92"/>
      <c r="M31" s="109"/>
      <c r="N31" s="92"/>
      <c r="O31" s="67"/>
      <c r="P31" s="92"/>
      <c r="Q31" s="92"/>
      <c r="R31" s="92"/>
      <c r="S31" s="92"/>
      <c r="T31" s="92"/>
      <c r="U31" s="314"/>
      <c r="V31" s="314"/>
      <c r="W31" s="314"/>
      <c r="X31" s="93"/>
      <c r="Y31" s="132"/>
    </row>
    <row r="32" spans="1:25" s="56" customFormat="1" ht="6" customHeight="1">
      <c r="A32" s="93"/>
      <c r="B32" s="92"/>
      <c r="C32" s="92"/>
      <c r="D32" s="92"/>
      <c r="E32" s="67"/>
      <c r="F32" s="67"/>
      <c r="G32" s="67"/>
      <c r="H32" s="92"/>
      <c r="I32" s="116"/>
      <c r="J32" s="116"/>
      <c r="K32" s="116"/>
      <c r="L32" s="92"/>
      <c r="M32" s="110"/>
      <c r="N32" s="92"/>
      <c r="O32" s="67"/>
      <c r="P32" s="92"/>
      <c r="Q32" s="92"/>
      <c r="R32" s="92"/>
      <c r="S32" s="92"/>
      <c r="T32" s="92"/>
      <c r="U32" s="314"/>
      <c r="V32" s="314"/>
      <c r="W32" s="314"/>
      <c r="X32" s="93"/>
      <c r="Y32" s="132"/>
    </row>
    <row r="33" spans="1:25" s="56" customFormat="1" ht="98.25" customHeight="1">
      <c r="A33" s="93"/>
      <c r="B33" s="92"/>
      <c r="C33" s="92"/>
      <c r="D33" s="92"/>
      <c r="E33" s="371" t="s">
        <v>57</v>
      </c>
      <c r="F33" s="371"/>
      <c r="G33" s="372"/>
      <c r="H33" s="92"/>
      <c r="I33" s="162">
        <f>VLOOKUP(I21 &amp; I12, 'DATABASE_SPACE '!A:DC, COLUMN(S1), FALSE)</f>
        <v>34.545778293385503</v>
      </c>
      <c r="J33" s="161"/>
      <c r="K33" s="159">
        <f>VLOOKUP(K21 &amp; I12, 'DATABASE_SPACE '!A:DC, COLUMN(S1), FALSE)</f>
        <v>32.454578640000001</v>
      </c>
      <c r="L33" s="67"/>
      <c r="M33" s="85">
        <f t="shared" ref="M33:M52" si="0">IF(K33-I33&lt;0, ROUND(K33-I33, 2), IF(K33-I33=0, "0", "+" &amp; ROUND(K33-I33, 2)))</f>
        <v>-2.09</v>
      </c>
      <c r="N33" s="92"/>
      <c r="O33" s="313" t="s">
        <v>58</v>
      </c>
      <c r="P33" s="92"/>
      <c r="Q33" s="69" t="s">
        <v>59</v>
      </c>
      <c r="R33" s="92"/>
      <c r="S33" s="27"/>
      <c r="T33" s="92"/>
      <c r="U33" s="360" t="s">
        <v>60</v>
      </c>
      <c r="V33" s="361"/>
      <c r="W33" s="362"/>
      <c r="X33" s="93"/>
      <c r="Y33" s="132"/>
    </row>
    <row r="34" spans="1:25" s="56" customFormat="1" ht="6" customHeight="1">
      <c r="A34" s="93"/>
      <c r="B34" s="92"/>
      <c r="C34" s="92"/>
      <c r="D34" s="92"/>
      <c r="E34" s="67"/>
      <c r="F34" s="67"/>
      <c r="G34" s="67"/>
      <c r="H34" s="92"/>
      <c r="I34" s="161"/>
      <c r="J34" s="161"/>
      <c r="K34" s="161"/>
      <c r="L34" s="67"/>
      <c r="M34" s="85"/>
      <c r="N34" s="92"/>
      <c r="O34" s="67"/>
      <c r="P34" s="92"/>
      <c r="Q34" s="92"/>
      <c r="R34" s="92"/>
      <c r="S34" s="92"/>
      <c r="T34" s="92"/>
      <c r="U34" s="314"/>
      <c r="V34" s="314"/>
      <c r="W34" s="314"/>
      <c r="X34" s="93"/>
      <c r="Y34" s="132"/>
    </row>
    <row r="35" spans="1:25" s="56" customFormat="1" ht="49.5" customHeight="1">
      <c r="A35" s="93"/>
      <c r="B35" s="92"/>
      <c r="C35" s="92"/>
      <c r="D35" s="92"/>
      <c r="E35" s="373" t="s">
        <v>61</v>
      </c>
      <c r="F35" s="373"/>
      <c r="G35" s="374"/>
      <c r="H35" s="92"/>
      <c r="I35" s="163">
        <f>VLOOKUP(I21 &amp; I12, 'DATABASE_SPACE '!A:DC, COLUMN(T1), FALSE)</f>
        <v>0.47549688641565652</v>
      </c>
      <c r="J35" s="161"/>
      <c r="K35" s="164">
        <f>VLOOKUP(K21 &amp; I12, 'DATABASE_SPACE '!A:DC, COLUMN(T1), FALSE)</f>
        <v>0.49400715049999999</v>
      </c>
      <c r="L35" s="67"/>
      <c r="M35" s="85" t="str">
        <f>IF(K35-I35&lt;0, TEXT(K35-I35, "0.00%"), IF(K35-I35=0, "0.00%", "+" &amp; TEXT(K35-I35, "0.00%")))</f>
        <v>+1.85%</v>
      </c>
      <c r="N35" s="92"/>
      <c r="O35" s="369" t="s">
        <v>62</v>
      </c>
      <c r="P35" s="92"/>
      <c r="Q35" s="69" t="s">
        <v>63</v>
      </c>
      <c r="R35" s="92"/>
      <c r="S35" s="350"/>
      <c r="T35" s="92"/>
      <c r="U35" s="363" t="s">
        <v>64</v>
      </c>
      <c r="V35" s="364"/>
      <c r="W35" s="365"/>
      <c r="X35" s="93"/>
      <c r="Y35" s="132"/>
    </row>
    <row r="36" spans="1:25" s="56" customFormat="1" ht="45.75" customHeight="1">
      <c r="A36" s="93"/>
      <c r="B36" s="92"/>
      <c r="C36" s="92"/>
      <c r="D36" s="92"/>
      <c r="E36" s="375"/>
      <c r="F36" s="375"/>
      <c r="G36" s="376"/>
      <c r="H36" s="92"/>
      <c r="I36" s="165">
        <f>VLOOKUP(I21 &amp; I12, 'DATABASE_SPACE '!A:DC, COLUMN(U1), FALSE)</f>
        <v>0.68745542949756888</v>
      </c>
      <c r="J36" s="161"/>
      <c r="K36" s="166">
        <f>VLOOKUP(K21 &amp; I12, 'DATABASE_SPACE '!A:DC, COLUMN(U1), FALSE)</f>
        <v>0.60887096799999996</v>
      </c>
      <c r="L36" s="67"/>
      <c r="M36" s="85" t="str">
        <f>IF(K36-I36&lt;0, TEXT(K36-I36, "0.00%"), IF(K36-I36=0, "0.00%", "+" &amp; TEXT(K36-I36, "0.00%")))</f>
        <v>-7.86%</v>
      </c>
      <c r="N36" s="92"/>
      <c r="O36" s="370"/>
      <c r="P36" s="92"/>
      <c r="Q36" s="69" t="s">
        <v>65</v>
      </c>
      <c r="R36" s="92"/>
      <c r="S36" s="351"/>
      <c r="T36" s="92"/>
      <c r="U36" s="366"/>
      <c r="V36" s="367"/>
      <c r="W36" s="368"/>
      <c r="X36" s="93"/>
      <c r="Y36" s="132"/>
    </row>
    <row r="37" spans="1:25" s="56" customFormat="1" ht="6" customHeight="1">
      <c r="A37" s="93"/>
      <c r="B37" s="92"/>
      <c r="C37" s="92"/>
      <c r="D37" s="92"/>
      <c r="E37" s="67"/>
      <c r="F37" s="67"/>
      <c r="G37" s="67"/>
      <c r="H37" s="92"/>
      <c r="I37" s="161"/>
      <c r="J37" s="161"/>
      <c r="K37" s="161"/>
      <c r="L37" s="67"/>
      <c r="M37" s="85"/>
      <c r="N37" s="92"/>
      <c r="O37" s="67"/>
      <c r="P37" s="92"/>
      <c r="Q37" s="92"/>
      <c r="R37" s="92"/>
      <c r="S37" s="92"/>
      <c r="T37" s="92"/>
      <c r="U37" s="314"/>
      <c r="V37" s="314"/>
      <c r="W37" s="314"/>
      <c r="X37" s="93"/>
      <c r="Y37" s="132"/>
    </row>
    <row r="38" spans="1:25" s="56" customFormat="1" ht="69.75" customHeight="1">
      <c r="A38" s="93"/>
      <c r="B38" s="92"/>
      <c r="C38" s="92"/>
      <c r="D38" s="92"/>
      <c r="E38" s="371" t="s">
        <v>66</v>
      </c>
      <c r="F38" s="371"/>
      <c r="G38" s="372"/>
      <c r="H38" s="92"/>
      <c r="I38" s="160">
        <f>VLOOKUP(I21 &amp; I12, 'DATABASE_SPACE '!A:DC, COLUMN(CR1), FALSE)</f>
        <v>188.859834300995</v>
      </c>
      <c r="J38" s="161"/>
      <c r="K38" s="159">
        <f>VLOOKUP(K21 &amp; I12, 'DATABASE_SPACE '!A:DC, COLUMN(CR1), FALSE)</f>
        <v>0</v>
      </c>
      <c r="L38" s="67"/>
      <c r="M38" s="85">
        <f t="shared" si="0"/>
        <v>-188.86</v>
      </c>
      <c r="N38" s="92"/>
      <c r="O38" s="369" t="s">
        <v>67</v>
      </c>
      <c r="P38" s="92"/>
      <c r="Q38" s="69" t="s">
        <v>68</v>
      </c>
      <c r="R38" s="92"/>
      <c r="S38" s="350"/>
      <c r="T38" s="92"/>
      <c r="U38" s="363" t="s">
        <v>69</v>
      </c>
      <c r="V38" s="364"/>
      <c r="W38" s="365"/>
      <c r="X38" s="93"/>
      <c r="Y38" s="132"/>
    </row>
    <row r="39" spans="1:25" s="56" customFormat="1" ht="31.5" hidden="1" customHeight="1">
      <c r="A39" s="93"/>
      <c r="B39" s="92"/>
      <c r="C39" s="92"/>
      <c r="D39" s="92"/>
      <c r="E39" s="371"/>
      <c r="F39" s="371"/>
      <c r="G39" s="372"/>
      <c r="H39" s="92"/>
      <c r="I39" s="167" t="s">
        <v>70</v>
      </c>
      <c r="J39" s="161"/>
      <c r="K39" s="168" t="s">
        <v>70</v>
      </c>
      <c r="L39" s="67"/>
      <c r="M39" s="85" t="e">
        <f t="shared" si="0"/>
        <v>#VALUE!</v>
      </c>
      <c r="N39" s="92"/>
      <c r="O39" s="370"/>
      <c r="P39" s="92"/>
      <c r="Q39" s="69"/>
      <c r="R39" s="92"/>
      <c r="S39" s="351"/>
      <c r="T39" s="92"/>
      <c r="U39" s="366"/>
      <c r="V39" s="367"/>
      <c r="W39" s="368"/>
      <c r="X39" s="93"/>
      <c r="Y39" s="132"/>
    </row>
    <row r="40" spans="1:25" s="56" customFormat="1" ht="6" customHeight="1">
      <c r="A40" s="93"/>
      <c r="B40" s="92"/>
      <c r="C40" s="92"/>
      <c r="D40" s="92"/>
      <c r="E40" s="67"/>
      <c r="F40" s="67"/>
      <c r="G40" s="67"/>
      <c r="H40" s="92"/>
      <c r="I40" s="161"/>
      <c r="J40" s="161"/>
      <c r="K40" s="161"/>
      <c r="L40" s="67"/>
      <c r="M40" s="85"/>
      <c r="N40" s="92"/>
      <c r="O40" s="67"/>
      <c r="P40" s="92"/>
      <c r="Q40" s="92"/>
      <c r="R40" s="92"/>
      <c r="S40" s="92"/>
      <c r="T40" s="92"/>
      <c r="U40" s="314"/>
      <c r="V40" s="314"/>
      <c r="W40" s="314"/>
      <c r="X40" s="93"/>
      <c r="Y40" s="132"/>
    </row>
    <row r="41" spans="1:25" s="56" customFormat="1" ht="23.25" customHeight="1">
      <c r="A41" s="93"/>
      <c r="B41" s="92"/>
      <c r="C41" s="92"/>
      <c r="D41" s="92"/>
      <c r="E41" s="373" t="s">
        <v>71</v>
      </c>
      <c r="F41" s="373"/>
      <c r="G41" s="374"/>
      <c r="H41" s="92"/>
      <c r="I41" s="163">
        <f>VLOOKUP(I21 &amp; I12, 'DATABASE_SPACE '!A:DC, COLUMN(AB1), FALSE)</f>
        <v>0.68892270374207398</v>
      </c>
      <c r="J41" s="161"/>
      <c r="K41" s="164">
        <f>VLOOKUP(K21 &amp; I12, 'DATABASE_SPACE '!A:DC, COLUMN(AB1), FALSE)</f>
        <v>0.85706042999999998</v>
      </c>
      <c r="L41" s="67"/>
      <c r="M41" s="85" t="str">
        <f t="shared" ref="M41:M46" si="1">IF(K41-I41&lt;0, TEXT(K41-I41, "0.00%"), IF(K41-I41=0, "0.00%", "+" &amp; TEXT(K41-I41, "0.00%")))</f>
        <v>+16.81%</v>
      </c>
      <c r="N41" s="92"/>
      <c r="O41" s="369" t="s">
        <v>72</v>
      </c>
      <c r="P41" s="92"/>
      <c r="Q41" s="390" t="s">
        <v>73</v>
      </c>
      <c r="R41" s="92"/>
      <c r="S41" s="350"/>
      <c r="T41" s="92"/>
      <c r="U41" s="363" t="s">
        <v>74</v>
      </c>
      <c r="V41" s="364"/>
      <c r="W41" s="365"/>
      <c r="X41" s="93"/>
      <c r="Y41" s="132"/>
    </row>
    <row r="42" spans="1:25" s="56" customFormat="1" ht="23.25" customHeight="1">
      <c r="A42" s="93"/>
      <c r="B42" s="92"/>
      <c r="C42" s="92"/>
      <c r="D42" s="92"/>
      <c r="E42" s="388"/>
      <c r="F42" s="388"/>
      <c r="G42" s="389"/>
      <c r="H42" s="92"/>
      <c r="I42" s="165">
        <f>VLOOKUP(I21 &amp; I12, 'DATABASE_SPACE '!A:DC, COLUMN(AA1), FALSE)</f>
        <v>0.12032414910858995</v>
      </c>
      <c r="J42" s="169"/>
      <c r="K42" s="164">
        <f>VLOOKUP(K21 &amp; I12, 'DATABASE_SPACE '!A:DC, COLUMN(AA1), FALSE)</f>
        <v>0.86290322600000002</v>
      </c>
      <c r="L42" s="67"/>
      <c r="M42" s="85" t="str">
        <f t="shared" si="1"/>
        <v>+74.26%</v>
      </c>
      <c r="N42" s="92"/>
      <c r="O42" s="370"/>
      <c r="P42" s="92"/>
      <c r="Q42" s="391"/>
      <c r="R42" s="92"/>
      <c r="S42" s="392"/>
      <c r="T42" s="92"/>
      <c r="U42" s="366"/>
      <c r="V42" s="367"/>
      <c r="W42" s="368"/>
      <c r="X42" s="93"/>
      <c r="Y42" s="132"/>
    </row>
    <row r="43" spans="1:25" s="56" customFormat="1" ht="23.25" customHeight="1">
      <c r="A43" s="93"/>
      <c r="B43" s="92"/>
      <c r="C43" s="92"/>
      <c r="D43" s="92"/>
      <c r="E43" s="388"/>
      <c r="F43" s="388"/>
      <c r="G43" s="389"/>
      <c r="H43" s="92"/>
      <c r="I43" s="163">
        <f>VLOOKUP(I21 &amp; I12, 'DATABASE_SPACE '!A:DC, COLUMN(AD1), FALSE)</f>
        <v>0.17869520106727901</v>
      </c>
      <c r="J43" s="161"/>
      <c r="K43" s="164">
        <f>VLOOKUP(K21 &amp; I12, 'DATABASE_SPACE '!A:DC, COLUMN(AD1), FALSE)</f>
        <v>1.6896789999999998E-2</v>
      </c>
      <c r="L43" s="67"/>
      <c r="M43" s="85" t="str">
        <f t="shared" si="1"/>
        <v>-16.18%</v>
      </c>
      <c r="N43" s="92"/>
      <c r="O43" s="369" t="s">
        <v>75</v>
      </c>
      <c r="P43" s="92"/>
      <c r="Q43" s="390" t="s">
        <v>76</v>
      </c>
      <c r="R43" s="92"/>
      <c r="S43" s="392"/>
      <c r="T43" s="92"/>
      <c r="U43" s="363" t="s">
        <v>77</v>
      </c>
      <c r="V43" s="364"/>
      <c r="W43" s="365"/>
      <c r="X43" s="93"/>
      <c r="Y43" s="132"/>
    </row>
    <row r="44" spans="1:25" s="56" customFormat="1" ht="23.25" customHeight="1">
      <c r="A44" s="93"/>
      <c r="B44" s="92"/>
      <c r="C44" s="92"/>
      <c r="D44" s="92"/>
      <c r="E44" s="388"/>
      <c r="F44" s="388"/>
      <c r="G44" s="389"/>
      <c r="H44" s="92"/>
      <c r="I44" s="165">
        <f>VLOOKUP(I21 &amp; I12, 'DATABASE_SPACE '!A:CG, COLUMN(AC1), FALSE)</f>
        <v>0.15889789303079416</v>
      </c>
      <c r="J44" s="169"/>
      <c r="K44" s="164">
        <f>VLOOKUP(K21 &amp; I12, 'DATABASE_SPACE '!A:DC, COLUMN(AC1), FALSE)</f>
        <v>8.0645160000000007E-3</v>
      </c>
      <c r="L44" s="67"/>
      <c r="M44" s="85" t="str">
        <f t="shared" si="1"/>
        <v>-15.08%</v>
      </c>
      <c r="N44" s="92"/>
      <c r="O44" s="370"/>
      <c r="P44" s="92"/>
      <c r="Q44" s="391"/>
      <c r="R44" s="92"/>
      <c r="S44" s="392"/>
      <c r="T44" s="92"/>
      <c r="U44" s="366"/>
      <c r="V44" s="367"/>
      <c r="W44" s="368"/>
      <c r="X44" s="93"/>
      <c r="Y44" s="132"/>
    </row>
    <row r="45" spans="1:25" s="56" customFormat="1" ht="23.25" customHeight="1">
      <c r="A45" s="93"/>
      <c r="B45" s="92"/>
      <c r="C45" s="92"/>
      <c r="D45" s="92"/>
      <c r="E45" s="388"/>
      <c r="F45" s="388"/>
      <c r="G45" s="389"/>
      <c r="H45" s="92"/>
      <c r="I45" s="163">
        <f>VLOOKUP(I21 &amp; I12, 'DATABASE_SPACE '!A:DC, COLUMN(AF1), FALSE)</f>
        <v>0.132382095190645</v>
      </c>
      <c r="J45" s="161"/>
      <c r="K45" s="164">
        <f>VLOOKUP(K21 &amp; I12, 'DATABASE_SPACE '!A:CG, COLUMN(AF1), FALSE)</f>
        <v>0.12604277999999999</v>
      </c>
      <c r="L45" s="67"/>
      <c r="M45" s="85" t="str">
        <f t="shared" si="1"/>
        <v>-0.63%</v>
      </c>
      <c r="N45" s="92"/>
      <c r="O45" s="369" t="s">
        <v>78</v>
      </c>
      <c r="P45" s="92"/>
      <c r="Q45" s="390" t="s">
        <v>79</v>
      </c>
      <c r="R45" s="92"/>
      <c r="S45" s="392"/>
      <c r="T45" s="92"/>
      <c r="U45" s="363" t="s">
        <v>80</v>
      </c>
      <c r="V45" s="364"/>
      <c r="W45" s="365"/>
      <c r="X45" s="93"/>
      <c r="Y45" s="132"/>
    </row>
    <row r="46" spans="1:25" s="56" customFormat="1" ht="22.5" customHeight="1">
      <c r="A46" s="93"/>
      <c r="B46" s="92"/>
      <c r="C46" s="92"/>
      <c r="D46" s="92"/>
      <c r="E46" s="375"/>
      <c r="F46" s="375"/>
      <c r="G46" s="376"/>
      <c r="H46" s="92"/>
      <c r="I46" s="165">
        <f>VLOOKUP(I21 &amp; I12, 'DATABASE_SPACE '!A:DC, COLUMN(AE1), FALSE)</f>
        <v>0.72077795786061594</v>
      </c>
      <c r="J46" s="169"/>
      <c r="K46" s="164">
        <f>VLOOKUP(K21 &amp; I12, 'DATABASE_SPACE '!A:DC, COLUMN(AE1), FALSE)</f>
        <v>0.12903225800000001</v>
      </c>
      <c r="L46" s="67"/>
      <c r="M46" s="85" t="str">
        <f t="shared" si="1"/>
        <v>-59.17%</v>
      </c>
      <c r="N46" s="92"/>
      <c r="O46" s="370"/>
      <c r="P46" s="92"/>
      <c r="Q46" s="391"/>
      <c r="R46" s="92"/>
      <c r="S46" s="351"/>
      <c r="T46" s="92"/>
      <c r="U46" s="366"/>
      <c r="V46" s="367"/>
      <c r="W46" s="368"/>
      <c r="X46" s="93"/>
      <c r="Y46" s="132"/>
    </row>
    <row r="47" spans="1:25" s="56" customFormat="1" ht="6" customHeight="1">
      <c r="A47" s="93"/>
      <c r="B47" s="92"/>
      <c r="C47" s="92"/>
      <c r="D47" s="92"/>
      <c r="E47" s="67"/>
      <c r="F47" s="67"/>
      <c r="G47" s="67"/>
      <c r="H47" s="92"/>
      <c r="I47" s="161"/>
      <c r="J47" s="161"/>
      <c r="K47" s="161"/>
      <c r="L47" s="67"/>
      <c r="M47" s="85"/>
      <c r="N47" s="92"/>
      <c r="O47" s="67"/>
      <c r="P47" s="92"/>
      <c r="Q47" s="92"/>
      <c r="R47" s="92"/>
      <c r="S47" s="92"/>
      <c r="T47" s="92"/>
      <c r="U47" s="314"/>
      <c r="V47" s="314"/>
      <c r="W47" s="314"/>
      <c r="X47" s="93"/>
      <c r="Y47" s="132"/>
    </row>
    <row r="48" spans="1:25" s="56" customFormat="1" ht="45" customHeight="1">
      <c r="A48" s="93"/>
      <c r="B48" s="92"/>
      <c r="C48" s="92"/>
      <c r="D48" s="92"/>
      <c r="E48" s="373" t="s">
        <v>81</v>
      </c>
      <c r="F48" s="373"/>
      <c r="G48" s="374"/>
      <c r="H48" s="92"/>
      <c r="I48" s="163">
        <f>VLOOKUP(I21 &amp; I12, 'DATABASE_SPACE '!A:DC, COLUMN(V1), FALSE)</f>
        <v>0.135903357302008</v>
      </c>
      <c r="J48" s="161"/>
      <c r="K48" s="164">
        <f>VLOOKUP(K21 &amp; I12, 'DATABASE_SPACE '!A:DC, COLUMN(V1), FALSE)</f>
        <v>6.9327587999999996E-2</v>
      </c>
      <c r="L48" s="67"/>
      <c r="M48" s="85" t="str">
        <f>IF(K48-I48&lt;0, TEXT(K48-I48, "0.00%"), IF(K48-I48=0, "0.00%", "+" &amp; TEXT(K48-I48, "0.00%")))</f>
        <v>-6.66%</v>
      </c>
      <c r="N48" s="92"/>
      <c r="O48" s="369" t="s">
        <v>82</v>
      </c>
      <c r="P48" s="92"/>
      <c r="Q48" s="69" t="s">
        <v>83</v>
      </c>
      <c r="R48" s="92"/>
      <c r="S48" s="350"/>
      <c r="T48" s="92"/>
      <c r="U48" s="363" t="s">
        <v>84</v>
      </c>
      <c r="V48" s="364"/>
      <c r="W48" s="365"/>
      <c r="X48" s="93"/>
      <c r="Y48" s="116"/>
    </row>
    <row r="49" spans="1:25" s="56" customFormat="1" ht="45" customHeight="1">
      <c r="A49" s="93"/>
      <c r="B49" s="92"/>
      <c r="C49" s="92"/>
      <c r="D49" s="92"/>
      <c r="E49" s="375"/>
      <c r="F49" s="375"/>
      <c r="G49" s="376"/>
      <c r="H49" s="92"/>
      <c r="I49" s="165">
        <f>VLOOKUP(I21 &amp; I12, 'DATABASE_SPACE '!A:DC, COLUMN(W1), FALSE)</f>
        <v>0.11526742301458671</v>
      </c>
      <c r="J49" s="169"/>
      <c r="K49" s="166">
        <f>VLOOKUP(K21 &amp; I12, 'DATABASE_SPACE '!A:DC, COLUMN(W1), FALSE)</f>
        <v>6.8548387000000002E-2</v>
      </c>
      <c r="L49" s="67"/>
      <c r="M49" s="156">
        <f t="shared" si="0"/>
        <v>-0.05</v>
      </c>
      <c r="N49" s="92"/>
      <c r="O49" s="370"/>
      <c r="P49" s="92"/>
      <c r="Q49" s="69" t="s">
        <v>85</v>
      </c>
      <c r="R49" s="92"/>
      <c r="S49" s="351"/>
      <c r="T49" s="92"/>
      <c r="U49" s="366"/>
      <c r="V49" s="367"/>
      <c r="W49" s="368"/>
      <c r="X49" s="93"/>
      <c r="Y49" s="116"/>
    </row>
    <row r="50" spans="1:25" s="56" customFormat="1" ht="6" customHeight="1">
      <c r="A50" s="93"/>
      <c r="B50" s="92"/>
      <c r="C50" s="92"/>
      <c r="D50" s="92"/>
      <c r="E50" s="67"/>
      <c r="F50" s="67"/>
      <c r="G50" s="67"/>
      <c r="H50" s="92"/>
      <c r="I50" s="161"/>
      <c r="J50" s="161"/>
      <c r="K50" s="161"/>
      <c r="L50" s="67"/>
      <c r="M50" s="85"/>
      <c r="N50" s="92"/>
      <c r="O50" s="67"/>
      <c r="P50" s="92"/>
      <c r="Q50" s="92"/>
      <c r="R50" s="92"/>
      <c r="S50" s="92"/>
      <c r="T50" s="92"/>
      <c r="U50" s="314"/>
      <c r="V50" s="314"/>
      <c r="W50" s="314"/>
      <c r="X50" s="93"/>
      <c r="Y50" s="116"/>
    </row>
    <row r="51" spans="1:25" ht="58.7" customHeight="1">
      <c r="A51" s="92"/>
      <c r="B51" s="92"/>
      <c r="C51" s="92"/>
      <c r="D51" s="92"/>
      <c r="E51" s="373" t="s">
        <v>86</v>
      </c>
      <c r="F51" s="373"/>
      <c r="G51" s="374"/>
      <c r="H51" s="92"/>
      <c r="I51" s="163">
        <f>VLOOKUP(I21 &amp; I12, 'DATABASE_SPACE '!A:DC, COLUMN(AG1), FALSE)</f>
        <v>5.9013567533339603E-3</v>
      </c>
      <c r="J51" s="161"/>
      <c r="K51" s="164">
        <f>VLOOKUP(K21 &amp; I12, 'DATABASE_SPACE '!A:DC, COLUMN(AG1), FALSE)</f>
        <v>4.0568210000000004E-3</v>
      </c>
      <c r="L51" s="67"/>
      <c r="M51" s="85" t="str">
        <f>IF(K51-I51&lt;0, TEXT(K51-I51, "0.00%"), IF(K51-I51=0, "0.00%", "+" &amp; TEXT(K51-I51, "0.00%")))</f>
        <v>-0.18%</v>
      </c>
      <c r="N51" s="92"/>
      <c r="O51" s="369" t="s">
        <v>87</v>
      </c>
      <c r="P51" s="92"/>
      <c r="Q51" s="69" t="s">
        <v>88</v>
      </c>
      <c r="R51" s="92"/>
      <c r="S51" s="350"/>
      <c r="T51" s="92"/>
      <c r="U51" s="363" t="s">
        <v>89</v>
      </c>
      <c r="V51" s="364"/>
      <c r="W51" s="365"/>
      <c r="X51" s="92"/>
      <c r="Y51" s="116"/>
    </row>
    <row r="52" spans="1:25" ht="58.7" customHeight="1">
      <c r="A52" s="92"/>
      <c r="B52" s="92"/>
      <c r="C52" s="92"/>
      <c r="D52" s="92"/>
      <c r="E52" s="375"/>
      <c r="F52" s="375"/>
      <c r="G52" s="376"/>
      <c r="H52" s="92"/>
      <c r="I52" s="165">
        <f>VLOOKUP(I21 &amp; I12, 'DATABASE_SPACE '!A:DC, COLUMN(AH1), FALSE)</f>
        <v>3.9286871961102109E-2</v>
      </c>
      <c r="J52" s="169"/>
      <c r="K52" s="166">
        <f>VLOOKUP(K21 &amp; I12, 'DATABASE_SPACE '!A:DC, COLUMN(AH1), FALSE)</f>
        <v>2.0161289999999998E-2</v>
      </c>
      <c r="L52" s="155"/>
      <c r="M52" s="156">
        <f t="shared" si="0"/>
        <v>-0.02</v>
      </c>
      <c r="N52" s="92"/>
      <c r="O52" s="370"/>
      <c r="P52" s="92"/>
      <c r="Q52" s="69" t="s">
        <v>90</v>
      </c>
      <c r="R52" s="92"/>
      <c r="S52" s="351"/>
      <c r="T52" s="92"/>
      <c r="U52" s="366"/>
      <c r="V52" s="367"/>
      <c r="W52" s="368"/>
      <c r="X52" s="92"/>
      <c r="Y52" s="116"/>
    </row>
    <row r="53" spans="1:25" ht="6" customHeight="1">
      <c r="A53" s="92"/>
      <c r="B53" s="92"/>
      <c r="C53" s="92"/>
      <c r="D53" s="92"/>
      <c r="E53" s="92"/>
      <c r="F53" s="92"/>
      <c r="G53" s="92"/>
      <c r="H53" s="92"/>
      <c r="I53" s="92"/>
      <c r="J53" s="92"/>
      <c r="K53" s="92"/>
      <c r="L53" s="92"/>
      <c r="M53" s="92"/>
      <c r="N53" s="92"/>
      <c r="O53" s="92"/>
      <c r="P53" s="92"/>
      <c r="Q53" s="92"/>
      <c r="R53" s="92"/>
      <c r="S53" s="92"/>
      <c r="T53" s="92"/>
      <c r="U53" s="92"/>
      <c r="V53" s="92"/>
      <c r="W53" s="92"/>
      <c r="X53" s="92"/>
      <c r="Y53" s="116"/>
    </row>
    <row r="54" spans="1:25" ht="14.25" customHeight="1">
      <c r="A54" s="92"/>
      <c r="B54" s="33"/>
      <c r="C54" s="1"/>
      <c r="D54" s="1"/>
      <c r="E54" s="1"/>
      <c r="F54" s="1"/>
      <c r="G54" s="1"/>
      <c r="H54" s="35"/>
      <c r="I54" s="1"/>
      <c r="J54" s="92"/>
      <c r="K54" s="92"/>
      <c r="L54" s="92"/>
      <c r="M54" s="92"/>
      <c r="N54" s="92"/>
      <c r="O54" s="92"/>
      <c r="P54" s="92"/>
      <c r="Q54" s="92"/>
      <c r="R54" s="92"/>
      <c r="S54" s="92"/>
      <c r="T54" s="92"/>
      <c r="U54" s="92"/>
      <c r="V54" s="92"/>
      <c r="W54" s="92"/>
      <c r="X54" s="92"/>
      <c r="Y54" s="116"/>
    </row>
    <row r="55" spans="1:25" ht="75" customHeight="1">
      <c r="A55" s="50"/>
      <c r="B55" s="50"/>
      <c r="C55" s="50"/>
      <c r="D55" s="50"/>
      <c r="E55" s="50"/>
      <c r="F55" s="50"/>
      <c r="G55" s="50"/>
      <c r="H55" s="50"/>
      <c r="I55" s="50"/>
      <c r="J55" s="50"/>
      <c r="K55" s="50"/>
      <c r="L55" s="50"/>
      <c r="M55" s="50"/>
      <c r="N55" s="50"/>
      <c r="O55" s="50"/>
      <c r="P55" s="50"/>
      <c r="Q55" s="50"/>
      <c r="R55" s="50"/>
      <c r="S55" s="50"/>
      <c r="T55" s="50"/>
      <c r="U55" s="50"/>
      <c r="V55" s="50"/>
      <c r="W55" s="50"/>
      <c r="X55" s="50"/>
      <c r="Y55" s="116"/>
    </row>
    <row r="56" spans="1:25" ht="15" customHeight="1">
      <c r="A56" s="92"/>
      <c r="B56" s="92"/>
      <c r="C56" s="92"/>
      <c r="D56" s="92"/>
      <c r="E56" s="92"/>
      <c r="F56" s="92"/>
      <c r="G56" s="92"/>
      <c r="H56" s="92"/>
      <c r="I56" s="92"/>
      <c r="J56" s="92"/>
      <c r="K56" s="92"/>
      <c r="L56" s="92"/>
      <c r="M56" s="92"/>
      <c r="N56" s="92"/>
      <c r="O56" s="92"/>
      <c r="P56" s="92"/>
      <c r="Q56" s="92"/>
      <c r="R56" s="92"/>
      <c r="S56" s="92"/>
      <c r="T56" s="92"/>
      <c r="U56" s="92"/>
      <c r="V56" s="92"/>
      <c r="W56" s="92"/>
      <c r="X56" s="92"/>
      <c r="Y56" s="116"/>
    </row>
    <row r="57" spans="1:25" ht="30.75" customHeight="1">
      <c r="A57" s="92"/>
      <c r="B57" s="76" t="s">
        <v>91</v>
      </c>
      <c r="C57" s="16"/>
      <c r="D57" s="16"/>
      <c r="E57" s="92"/>
      <c r="F57" s="92"/>
      <c r="G57" s="92"/>
      <c r="H57" s="92"/>
      <c r="I57" s="92"/>
      <c r="J57" s="92"/>
      <c r="K57" s="92"/>
      <c r="L57" s="92"/>
      <c r="M57" s="92"/>
      <c r="N57" s="92"/>
      <c r="O57" s="92"/>
      <c r="P57" s="92"/>
      <c r="Q57" s="92"/>
      <c r="R57" s="92"/>
      <c r="S57" s="92"/>
      <c r="T57" s="92"/>
      <c r="U57" s="92"/>
      <c r="V57" s="92"/>
      <c r="W57" s="17" t="str">
        <f>W3</f>
        <v>September 2025</v>
      </c>
      <c r="X57" s="92"/>
      <c r="Y57" s="116"/>
    </row>
    <row r="58" spans="1:25" ht="15" customHeight="1">
      <c r="A58" s="92"/>
      <c r="B58" s="3"/>
      <c r="C58" s="3"/>
      <c r="D58" s="3"/>
      <c r="E58" s="92"/>
      <c r="F58" s="92"/>
      <c r="G58" s="92"/>
      <c r="H58" s="92"/>
      <c r="I58" s="92"/>
      <c r="J58" s="92"/>
      <c r="K58" s="92"/>
      <c r="L58" s="92"/>
      <c r="M58" s="92"/>
      <c r="N58" s="92"/>
      <c r="O58" s="92"/>
      <c r="P58" s="92"/>
      <c r="Q58" s="92"/>
      <c r="R58" s="92"/>
      <c r="S58" s="92"/>
      <c r="T58" s="92"/>
      <c r="U58" s="92"/>
      <c r="V58" s="92"/>
      <c r="W58" s="92"/>
      <c r="X58" s="92"/>
      <c r="Y58" s="116"/>
    </row>
    <row r="59" spans="1:25" ht="15" customHeight="1">
      <c r="A59" s="92"/>
      <c r="B59" s="3"/>
      <c r="C59" s="3"/>
      <c r="D59" s="3"/>
      <c r="E59" s="92"/>
      <c r="F59" s="92"/>
      <c r="G59" s="92"/>
      <c r="H59" s="92"/>
      <c r="I59" s="92"/>
      <c r="J59" s="92"/>
      <c r="K59" s="92"/>
      <c r="L59" s="92"/>
      <c r="M59" s="92"/>
      <c r="N59" s="92"/>
      <c r="O59" s="116"/>
      <c r="P59" s="116"/>
      <c r="Q59" s="117"/>
      <c r="R59" s="118"/>
      <c r="S59" s="118"/>
      <c r="T59" s="118"/>
      <c r="U59" s="118"/>
      <c r="V59" s="119"/>
      <c r="W59" s="116"/>
      <c r="X59" s="116"/>
      <c r="Y59" s="116"/>
    </row>
    <row r="60" spans="1:25" ht="15" customHeight="1">
      <c r="A60" s="92"/>
      <c r="B60" s="352" t="s">
        <v>33</v>
      </c>
      <c r="C60" s="377"/>
      <c r="D60" s="377"/>
      <c r="E60" s="377"/>
      <c r="F60" s="377"/>
      <c r="G60" s="353"/>
      <c r="H60" s="57"/>
      <c r="I60" s="378" t="str">
        <f>I6</f>
        <v>VanEck Multi-Asset Allocation Indices Methodology</v>
      </c>
      <c r="J60" s="379"/>
      <c r="K60" s="379"/>
      <c r="L60" s="379"/>
      <c r="M60" s="380"/>
      <c r="N60" s="92"/>
      <c r="O60" s="105"/>
      <c r="P60" s="124"/>
      <c r="Q60" s="120"/>
      <c r="R60" s="116"/>
      <c r="S60" s="116"/>
      <c r="T60" s="116"/>
      <c r="U60" s="116"/>
      <c r="V60" s="102" t="s">
        <v>34</v>
      </c>
      <c r="W60" s="116"/>
      <c r="X60" s="116"/>
      <c r="Y60" s="116"/>
    </row>
    <row r="61" spans="1:25" ht="4.5" customHeight="1">
      <c r="A61" s="92"/>
      <c r="B61" s="9"/>
      <c r="C61" s="9"/>
      <c r="D61" s="9"/>
      <c r="E61" s="9"/>
      <c r="F61" s="10"/>
      <c r="G61" s="10"/>
      <c r="H61" s="58"/>
      <c r="I61" s="19"/>
      <c r="J61" s="19"/>
      <c r="K61" s="19"/>
      <c r="L61" s="19"/>
      <c r="M61" s="19"/>
      <c r="N61" s="92"/>
      <c r="O61" s="106"/>
      <c r="P61" s="124"/>
      <c r="Q61" s="120"/>
      <c r="R61" s="124"/>
      <c r="S61" s="94"/>
      <c r="T61" s="121"/>
      <c r="U61" s="121"/>
      <c r="V61" s="134"/>
      <c r="W61" s="116"/>
      <c r="X61" s="116"/>
      <c r="Y61" s="116"/>
    </row>
    <row r="62" spans="1:25" ht="15" customHeight="1">
      <c r="A62" s="92"/>
      <c r="B62" s="352" t="s">
        <v>35</v>
      </c>
      <c r="C62" s="377"/>
      <c r="D62" s="377"/>
      <c r="E62" s="377"/>
      <c r="F62" s="377"/>
      <c r="G62" s="353"/>
      <c r="H62" s="57"/>
      <c r="I62" s="378" t="str">
        <f>I8</f>
        <v>S&amp;P Global BMI</v>
      </c>
      <c r="J62" s="379"/>
      <c r="K62" s="379"/>
      <c r="L62" s="379"/>
      <c r="M62" s="380"/>
      <c r="N62" s="92"/>
      <c r="O62" s="105"/>
      <c r="P62" s="104"/>
      <c r="Q62" s="126"/>
      <c r="R62" s="127"/>
      <c r="S62" s="127"/>
      <c r="T62" s="127"/>
      <c r="U62" s="128"/>
      <c r="V62" s="129"/>
      <c r="W62" s="116"/>
      <c r="X62" s="116"/>
      <c r="Y62" s="116"/>
    </row>
    <row r="63" spans="1:25" ht="4.5" customHeight="1">
      <c r="A63" s="92"/>
      <c r="B63" s="11"/>
      <c r="C63" s="11"/>
      <c r="D63" s="11"/>
      <c r="E63" s="12"/>
      <c r="F63" s="11"/>
      <c r="G63" s="11"/>
      <c r="H63" s="59"/>
      <c r="I63" s="59"/>
      <c r="J63" s="59"/>
      <c r="K63" s="59"/>
      <c r="L63" s="59"/>
      <c r="M63" s="59"/>
      <c r="N63" s="92"/>
      <c r="O63" s="107"/>
      <c r="P63" s="124"/>
      <c r="Q63" s="124"/>
      <c r="R63" s="124"/>
      <c r="S63" s="95"/>
      <c r="T63" s="124"/>
      <c r="U63" s="116"/>
      <c r="V63" s="116"/>
      <c r="W63" s="116"/>
      <c r="X63" s="116"/>
      <c r="Y63" s="116"/>
    </row>
    <row r="64" spans="1:25" ht="15" customHeight="1">
      <c r="A64" s="92"/>
      <c r="B64" s="395" t="s">
        <v>92</v>
      </c>
      <c r="C64" s="396"/>
      <c r="D64" s="396"/>
      <c r="E64" s="396"/>
      <c r="F64" s="396"/>
      <c r="G64" s="397"/>
      <c r="H64" s="61"/>
      <c r="I64" s="378" t="str">
        <f>I10</f>
        <v>GPR Global 100 Index</v>
      </c>
      <c r="J64" s="379"/>
      <c r="K64" s="379"/>
      <c r="L64" s="379"/>
      <c r="M64" s="380"/>
      <c r="N64" s="92"/>
      <c r="O64" s="108"/>
      <c r="P64" s="97"/>
      <c r="Q64" s="97"/>
      <c r="R64" s="130"/>
      <c r="S64" s="97"/>
      <c r="T64" s="116"/>
      <c r="U64" s="116"/>
      <c r="V64" s="116"/>
      <c r="W64" s="96"/>
      <c r="X64" s="116"/>
      <c r="Y64" s="116"/>
    </row>
    <row r="65" spans="1:24" ht="8.25" customHeight="1">
      <c r="A65" s="92"/>
      <c r="B65" s="5"/>
      <c r="C65" s="5"/>
      <c r="D65" s="5"/>
      <c r="E65" s="6"/>
      <c r="F65" s="7"/>
      <c r="G65" s="5"/>
      <c r="H65" s="62"/>
      <c r="I65" s="60"/>
      <c r="J65" s="60"/>
      <c r="K65" s="62"/>
      <c r="L65" s="60"/>
      <c r="M65" s="62"/>
      <c r="N65" s="60"/>
      <c r="O65" s="60"/>
      <c r="P65" s="124"/>
      <c r="Q65" s="124"/>
      <c r="R65" s="124"/>
      <c r="S65" s="124"/>
      <c r="T65" s="116"/>
      <c r="U65" s="116"/>
      <c r="V65" s="116"/>
      <c r="W65" s="116"/>
      <c r="X65" s="92"/>
    </row>
    <row r="66" spans="1:24" ht="15" customHeight="1">
      <c r="A66" s="92"/>
      <c r="B66" s="5"/>
      <c r="C66" s="5"/>
      <c r="D66" s="5"/>
      <c r="E66" s="6"/>
      <c r="F66" s="352" t="s">
        <v>93</v>
      </c>
      <c r="G66" s="353"/>
      <c r="H66" s="61"/>
      <c r="I66" s="81">
        <f>I12</f>
        <v>45922</v>
      </c>
      <c r="J66" s="26"/>
      <c r="K66" s="92"/>
      <c r="L66" s="60"/>
      <c r="M66" s="62"/>
      <c r="N66" s="60"/>
      <c r="O66" s="60"/>
      <c r="P66" s="124"/>
      <c r="Q66" s="124"/>
      <c r="R66" s="98"/>
      <c r="S66" s="98"/>
      <c r="T66" s="98"/>
      <c r="U66" s="98"/>
      <c r="V66" s="98"/>
      <c r="W66" s="99"/>
      <c r="X66" s="92"/>
    </row>
    <row r="67" spans="1:24" s="56" customFormat="1" ht="15" customHeight="1">
      <c r="A67" s="92"/>
      <c r="B67" s="92"/>
      <c r="C67" s="92"/>
      <c r="D67" s="92"/>
      <c r="E67" s="92"/>
      <c r="F67" s="92"/>
      <c r="G67" s="92"/>
      <c r="H67" s="92"/>
      <c r="I67" s="92"/>
      <c r="J67" s="92"/>
      <c r="K67" s="92"/>
      <c r="L67" s="92"/>
      <c r="M67" s="92"/>
      <c r="N67" s="92"/>
      <c r="O67" s="92"/>
      <c r="P67" s="116"/>
      <c r="Q67" s="116"/>
      <c r="R67" s="124"/>
      <c r="S67" s="124"/>
      <c r="T67" s="116"/>
      <c r="U67" s="116"/>
      <c r="V67" s="116"/>
      <c r="W67" s="100"/>
      <c r="X67" s="92"/>
    </row>
    <row r="68" spans="1:24" s="56" customFormat="1" ht="15" customHeight="1">
      <c r="A68" s="92"/>
      <c r="B68" s="92"/>
      <c r="C68" s="92"/>
      <c r="D68" s="92"/>
      <c r="E68" s="92"/>
      <c r="F68" s="92"/>
      <c r="G68" s="92"/>
      <c r="H68" s="92"/>
      <c r="I68" s="92"/>
      <c r="J68" s="92"/>
      <c r="K68" s="92"/>
      <c r="L68" s="92"/>
      <c r="M68" s="92"/>
      <c r="N68" s="92"/>
      <c r="O68" s="92"/>
      <c r="P68" s="116"/>
      <c r="Q68" s="116"/>
      <c r="R68" s="98"/>
      <c r="S68" s="98"/>
      <c r="T68" s="98"/>
      <c r="U68" s="98"/>
      <c r="V68" s="98"/>
      <c r="W68" s="101"/>
      <c r="X68" s="92"/>
    </row>
    <row r="69" spans="1:24" s="56" customFormat="1" ht="18.75" customHeight="1">
      <c r="A69" s="92"/>
      <c r="B69" s="48" t="s">
        <v>94</v>
      </c>
      <c r="C69" s="4"/>
      <c r="D69" s="4"/>
      <c r="E69" s="92"/>
      <c r="F69" s="92"/>
      <c r="G69" s="92"/>
      <c r="H69" s="92"/>
      <c r="I69" s="92"/>
      <c r="J69" s="92"/>
      <c r="K69" s="92"/>
      <c r="L69" s="92"/>
      <c r="M69" s="92"/>
      <c r="N69" s="92"/>
      <c r="O69" s="4"/>
      <c r="P69" s="92"/>
      <c r="Q69" s="92"/>
      <c r="R69" s="123"/>
      <c r="S69" s="123"/>
      <c r="T69" s="92"/>
      <c r="U69" s="92"/>
      <c r="V69" s="92"/>
      <c r="W69" s="38"/>
      <c r="X69" s="92"/>
    </row>
    <row r="70" spans="1:24" s="56" customFormat="1" ht="8.25" customHeight="1">
      <c r="A70" s="92"/>
      <c r="B70" s="92"/>
      <c r="C70" s="92"/>
      <c r="D70" s="92"/>
      <c r="E70" s="92"/>
      <c r="F70" s="92"/>
      <c r="G70" s="92"/>
      <c r="H70" s="92"/>
      <c r="I70" s="92"/>
      <c r="J70" s="92"/>
      <c r="K70" s="92"/>
      <c r="L70" s="92"/>
      <c r="M70" s="92"/>
      <c r="N70" s="92"/>
      <c r="O70" s="92"/>
      <c r="P70" s="92"/>
      <c r="Q70" s="92"/>
      <c r="R70" s="92"/>
      <c r="S70" s="92"/>
      <c r="T70" s="92"/>
      <c r="U70" s="92"/>
      <c r="V70" s="92"/>
      <c r="W70" s="92"/>
      <c r="X70" s="92"/>
    </row>
    <row r="71" spans="1:24" s="56" customFormat="1" ht="45" customHeight="1">
      <c r="A71" s="92"/>
      <c r="B71" s="355"/>
      <c r="C71" s="355"/>
      <c r="D71" s="355"/>
      <c r="E71" s="356" t="s">
        <v>42</v>
      </c>
      <c r="F71" s="356"/>
      <c r="G71" s="356"/>
      <c r="H71" s="92"/>
      <c r="I71" s="136" t="str">
        <f>I62</f>
        <v>S&amp;P Global BMI</v>
      </c>
      <c r="J71" s="92"/>
      <c r="K71" s="71" t="str">
        <f>IF(I10=" &lt;&lt;&lt; Select Index &gt;&gt;&gt;","",I10)</f>
        <v>GPR Global 100 Index</v>
      </c>
      <c r="L71" s="92"/>
      <c r="M71" s="137" t="s">
        <v>43</v>
      </c>
      <c r="N71" s="92"/>
      <c r="O71" s="149" t="s">
        <v>44</v>
      </c>
      <c r="P71" s="92"/>
      <c r="Q71" s="31" t="s">
        <v>45</v>
      </c>
      <c r="R71" s="64"/>
      <c r="S71" s="25" t="s">
        <v>46</v>
      </c>
      <c r="T71" s="92"/>
      <c r="U71" s="357" t="s">
        <v>47</v>
      </c>
      <c r="V71" s="357"/>
      <c r="W71" s="357"/>
      <c r="X71" s="92"/>
    </row>
    <row r="72" spans="1:24" s="56" customFormat="1" ht="8.25" customHeight="1">
      <c r="A72" s="92"/>
      <c r="B72" s="92"/>
      <c r="C72" s="92"/>
      <c r="D72" s="92"/>
      <c r="E72" s="92"/>
      <c r="F72" s="92"/>
      <c r="G72" s="92"/>
      <c r="H72" s="92"/>
      <c r="I72" s="92"/>
      <c r="J72" s="92"/>
      <c r="K72" s="92"/>
      <c r="L72" s="92"/>
      <c r="M72" s="92"/>
      <c r="N72" s="92"/>
      <c r="O72" s="92"/>
      <c r="P72" s="92"/>
      <c r="Q72" s="92"/>
      <c r="R72" s="92"/>
      <c r="S72" s="92"/>
      <c r="T72" s="92"/>
      <c r="U72" s="92"/>
      <c r="V72" s="92"/>
      <c r="W72" s="92"/>
      <c r="X72" s="92"/>
    </row>
    <row r="73" spans="1:24" s="56" customFormat="1" ht="60" customHeight="1">
      <c r="A73" s="92"/>
      <c r="B73" s="92"/>
      <c r="C73" s="92"/>
      <c r="D73" s="92"/>
      <c r="E73" s="393" t="s">
        <v>95</v>
      </c>
      <c r="F73" s="393"/>
      <c r="G73" s="394"/>
      <c r="H73" s="92"/>
      <c r="I73" s="162">
        <f>VLOOKUP(I21 &amp; I12, 'DATABASE_SPACE '!A:DC, COLUMN(AK1), FALSE)</f>
        <v>45.961828422297998</v>
      </c>
      <c r="J73" s="161"/>
      <c r="K73" s="159">
        <f>VLOOKUP(K21 &amp; I12, 'DATABASE_SPACE '!A:DC, COLUMN(AK1), FALSE)</f>
        <v>65.160968519999997</v>
      </c>
      <c r="L73" s="161"/>
      <c r="M73" s="170" t="str">
        <f t="shared" ref="M73" si="2">IF(K73-I73&lt;0, ROUND(K73-I73, 2), IF(K73-I73=0, "0", "+" &amp; ROUND(K73-I73, 2)))</f>
        <v>+19.2</v>
      </c>
      <c r="N73" s="92"/>
      <c r="O73" s="157" t="s">
        <v>96</v>
      </c>
      <c r="P73" s="92"/>
      <c r="Q73" s="69" t="s">
        <v>97</v>
      </c>
      <c r="R73" s="92"/>
      <c r="S73" s="27"/>
      <c r="T73" s="92"/>
      <c r="U73" s="360" t="s">
        <v>98</v>
      </c>
      <c r="V73" s="361"/>
      <c r="W73" s="362"/>
      <c r="X73" s="92"/>
    </row>
    <row r="74" spans="1:24" s="56" customFormat="1" ht="8.25" customHeight="1">
      <c r="A74" s="92"/>
      <c r="B74" s="92"/>
      <c r="C74" s="92"/>
      <c r="D74" s="92"/>
      <c r="E74" s="315"/>
      <c r="F74" s="315"/>
      <c r="G74" s="315"/>
      <c r="H74" s="92"/>
      <c r="I74" s="161"/>
      <c r="J74" s="161"/>
      <c r="K74" s="161"/>
      <c r="L74" s="161"/>
      <c r="M74" s="171"/>
      <c r="N74" s="92"/>
      <c r="O74" s="67"/>
      <c r="P74" s="92"/>
      <c r="Q74" s="92"/>
      <c r="R74" s="92"/>
      <c r="S74" s="92"/>
      <c r="T74" s="92"/>
      <c r="U74" s="314"/>
      <c r="V74" s="314"/>
      <c r="W74" s="314"/>
      <c r="X74" s="92"/>
    </row>
    <row r="75" spans="1:24" s="56" customFormat="1" ht="33.75" customHeight="1">
      <c r="A75" s="93"/>
      <c r="B75" s="92"/>
      <c r="C75" s="92"/>
      <c r="D75" s="92"/>
      <c r="E75" s="409" t="s">
        <v>99</v>
      </c>
      <c r="F75" s="409"/>
      <c r="G75" s="410"/>
      <c r="H75" s="92"/>
      <c r="I75" s="163">
        <f>VLOOKUP(I21 &amp; I12, 'DATABASE_SPACE '!A:DC, COLUMN(CL1), FALSE)</f>
        <v>2.5578075119243201E-2</v>
      </c>
      <c r="J75" s="161"/>
      <c r="K75" s="164">
        <f>VLOOKUP(K21 &amp; I12, 'DATABASE_SPACE '!A:DC, COLUMN(CL1), FALSE)</f>
        <v>5.82125E-3</v>
      </c>
      <c r="L75" s="161"/>
      <c r="M75" s="170" t="str">
        <f>IF(K75-I75&lt;0, TEXT(K75-I75, "0.00%"), IF(K75-I75=0, "0.00%", "+" &amp; TEXT(K75-I75, "0.00%")))</f>
        <v>-1.98%</v>
      </c>
      <c r="N75" s="92"/>
      <c r="O75" s="406" t="s">
        <v>100</v>
      </c>
      <c r="P75" s="92"/>
      <c r="Q75" s="390" t="s">
        <v>101</v>
      </c>
      <c r="R75" s="92"/>
      <c r="S75" s="350"/>
      <c r="T75" s="92"/>
      <c r="U75" s="408" t="s">
        <v>102</v>
      </c>
      <c r="V75" s="364"/>
      <c r="W75" s="365"/>
      <c r="X75" s="93"/>
    </row>
    <row r="76" spans="1:24" s="56" customFormat="1" ht="40.5" customHeight="1">
      <c r="A76" s="93"/>
      <c r="B76" s="92"/>
      <c r="C76" s="92"/>
      <c r="D76" s="92"/>
      <c r="E76" s="411"/>
      <c r="F76" s="411"/>
      <c r="G76" s="412"/>
      <c r="H76" s="92"/>
      <c r="I76" s="165">
        <f>VLOOKUP(I21 &amp; I12, 'DATABASE_SPACE '!A:DC, COLUMN(CK1), FALSE)</f>
        <v>5.2512155591572119E-3</v>
      </c>
      <c r="J76" s="169"/>
      <c r="K76" s="166">
        <f>VLOOKUP(K21 &amp; I12, 'DATABASE_SPACE '!A:DC, COLUMN(CK1), FALSE)</f>
        <v>8.0645160000000007E-3</v>
      </c>
      <c r="L76" s="169"/>
      <c r="M76" s="172" t="str">
        <f t="shared" ref="M76" si="3">IF(K76-I76&lt;0, ROUND(K76-I76, 2), IF(K76-I76=0, "0", "+" &amp; ROUND(K76-I76, 2)))</f>
        <v>+0</v>
      </c>
      <c r="N76" s="92"/>
      <c r="O76" s="407"/>
      <c r="P76" s="92"/>
      <c r="Q76" s="391"/>
      <c r="R76" s="92"/>
      <c r="S76" s="351"/>
      <c r="T76" s="92"/>
      <c r="U76" s="366"/>
      <c r="V76" s="367"/>
      <c r="W76" s="368"/>
      <c r="X76" s="93"/>
    </row>
    <row r="77" spans="1:24" s="56" customFormat="1" ht="8.25" customHeight="1">
      <c r="A77" s="93"/>
      <c r="B77" s="92"/>
      <c r="C77" s="92"/>
      <c r="D77" s="92"/>
      <c r="E77" s="67"/>
      <c r="F77" s="67"/>
      <c r="G77" s="67"/>
      <c r="H77" s="92"/>
      <c r="I77" s="161"/>
      <c r="J77" s="161"/>
      <c r="K77" s="161"/>
      <c r="L77" s="161"/>
      <c r="M77" s="171"/>
      <c r="N77" s="92"/>
      <c r="O77" s="67"/>
      <c r="P77" s="92"/>
      <c r="Q77" s="92"/>
      <c r="R77" s="92"/>
      <c r="S77" s="92"/>
      <c r="T77" s="92"/>
      <c r="U77" s="314"/>
      <c r="V77" s="314"/>
      <c r="W77" s="314"/>
      <c r="X77" s="93"/>
    </row>
    <row r="78" spans="1:24" s="56" customFormat="1" ht="27" customHeight="1">
      <c r="A78" s="93"/>
      <c r="B78" s="92"/>
      <c r="C78" s="92"/>
      <c r="D78" s="92"/>
      <c r="E78" s="409" t="s">
        <v>103</v>
      </c>
      <c r="F78" s="409"/>
      <c r="G78" s="410"/>
      <c r="H78" s="92"/>
      <c r="I78" s="163">
        <f>VLOOKUP(I21 &amp; I12, 'DATABASE_SPACE '!A:DC, COLUMN(CI1), FALSE)</f>
        <v>8.9986078064763705E-2</v>
      </c>
      <c r="J78" s="161"/>
      <c r="K78" s="164">
        <f>VLOOKUP(K21 &amp; I12, 'DATABASE_SPACE '!A:DC, COLUMN(CI1), FALSE)</f>
        <v>4.5547579999999997E-2</v>
      </c>
      <c r="L78" s="161"/>
      <c r="M78" s="170" t="str">
        <f>IF(K78-I78&lt;0, TEXT(K78-I78, "0.00%"), IF(K78-I78=0, "0.00%", "+" &amp; TEXT(K78-I78, "0.00%")))</f>
        <v>-4.44%</v>
      </c>
      <c r="N78" s="92"/>
      <c r="O78" s="406" t="s">
        <v>104</v>
      </c>
      <c r="P78" s="92"/>
      <c r="Q78" s="390" t="s">
        <v>105</v>
      </c>
      <c r="R78" s="92"/>
      <c r="S78" s="350"/>
      <c r="T78" s="92"/>
      <c r="U78" s="363" t="s">
        <v>106</v>
      </c>
      <c r="V78" s="364"/>
      <c r="W78" s="365"/>
      <c r="X78" s="93"/>
    </row>
    <row r="79" spans="1:24" s="56" customFormat="1" ht="27" customHeight="1">
      <c r="A79" s="93"/>
      <c r="B79" s="92"/>
      <c r="C79" s="92"/>
      <c r="D79" s="92"/>
      <c r="E79" s="411"/>
      <c r="F79" s="411"/>
      <c r="G79" s="412"/>
      <c r="H79" s="92"/>
      <c r="I79" s="165">
        <f>VLOOKUP(I21 &amp; I12, 'DATABASE_SPACE '!A:DC, COLUMN(CH1), FALSE)</f>
        <v>3.6175040518638575E-2</v>
      </c>
      <c r="J79" s="169"/>
      <c r="K79" s="166">
        <f>VLOOKUP(K21 &amp; I12, 'DATABASE_SPACE '!A:DC, COLUMN(CH1), FALSE)</f>
        <v>6.0483871000000002E-2</v>
      </c>
      <c r="L79" s="169"/>
      <c r="M79" s="172" t="str">
        <f t="shared" ref="M79" si="4">IF(K79-I79&lt;0, ROUND(K79-I79, 2), IF(K79-I79=0, "0", "+" &amp; ROUND(K79-I79, 2)))</f>
        <v>+0.02</v>
      </c>
      <c r="N79" s="92"/>
      <c r="O79" s="407"/>
      <c r="P79" s="92"/>
      <c r="Q79" s="391"/>
      <c r="R79" s="92"/>
      <c r="S79" s="351"/>
      <c r="T79" s="92"/>
      <c r="U79" s="366"/>
      <c r="V79" s="367"/>
      <c r="W79" s="368"/>
      <c r="X79" s="93"/>
    </row>
    <row r="80" spans="1:24" s="56" customFormat="1" ht="8.25" customHeight="1">
      <c r="A80" s="93"/>
      <c r="B80" s="92"/>
      <c r="C80" s="92"/>
      <c r="D80" s="92"/>
      <c r="E80" s="67"/>
      <c r="F80" s="67"/>
      <c r="G80" s="67"/>
      <c r="H80" s="92"/>
      <c r="I80" s="161"/>
      <c r="J80" s="161"/>
      <c r="K80" s="161"/>
      <c r="L80" s="161"/>
      <c r="M80" s="171"/>
      <c r="N80" s="92"/>
      <c r="O80" s="67"/>
      <c r="P80" s="92"/>
      <c r="Q80" s="92"/>
      <c r="R80" s="92"/>
      <c r="S80" s="92"/>
      <c r="T80" s="92"/>
      <c r="U80" s="314"/>
      <c r="V80" s="314"/>
      <c r="W80" s="314"/>
      <c r="X80" s="93"/>
    </row>
    <row r="81" spans="1:24" s="56" customFormat="1" ht="38.25" customHeight="1">
      <c r="A81" s="93"/>
      <c r="B81" s="92"/>
      <c r="C81" s="92"/>
      <c r="D81" s="92"/>
      <c r="E81" s="409" t="s">
        <v>107</v>
      </c>
      <c r="F81" s="409"/>
      <c r="G81" s="410"/>
      <c r="H81" s="92"/>
      <c r="I81" s="163">
        <f>VLOOKUP(I21 &amp; I12, 'DATABASE_SPACE '!A:CG, COLUMN(AN1), FALSE)</f>
        <v>8.8811044064335994E-3</v>
      </c>
      <c r="J81" s="161"/>
      <c r="K81" s="164">
        <f>VLOOKUP(K21 &amp; I12, 'DATABASE_SPACE '!A:CG, COLUMN(AN1), FALSE)</f>
        <v>0</v>
      </c>
      <c r="L81" s="161"/>
      <c r="M81" s="170" t="str">
        <f>IF(K81-I81&lt;0, TEXT(K81-I81, "0.00%"), IF(K81-I81=0, "0.00%", "+" &amp; TEXT(K81-I81, "0.00%")))</f>
        <v>-0.89%</v>
      </c>
      <c r="N81" s="92"/>
      <c r="O81" s="398" t="s">
        <v>108</v>
      </c>
      <c r="P81" s="92"/>
      <c r="Q81" s="390" t="s">
        <v>109</v>
      </c>
      <c r="R81" s="92"/>
      <c r="S81" s="350"/>
      <c r="T81" s="92"/>
      <c r="U81" s="400" t="s">
        <v>110</v>
      </c>
      <c r="V81" s="401"/>
      <c r="W81" s="402"/>
      <c r="X81" s="93"/>
    </row>
    <row r="82" spans="1:24" s="56" customFormat="1" ht="38.25" customHeight="1">
      <c r="A82" s="93"/>
      <c r="B82" s="92"/>
      <c r="C82" s="92"/>
      <c r="D82" s="92"/>
      <c r="E82" s="449"/>
      <c r="F82" s="449"/>
      <c r="G82" s="450"/>
      <c r="H82" s="92"/>
      <c r="I82" s="165">
        <f>VLOOKUP(I21 &amp; I12, 'DATABASE_SPACE '!A:CG, COLUMN(AO1), FALSE)</f>
        <v>2.7228525121555914E-3</v>
      </c>
      <c r="J82" s="169"/>
      <c r="K82" s="166">
        <f>VLOOKUP(K21 &amp; I12, 'DATABASE_SPACE '!A:CG, COLUMN(AO1), FALSE)</f>
        <v>0</v>
      </c>
      <c r="L82" s="169"/>
      <c r="M82" s="172">
        <f t="shared" ref="M82" si="5">IF(K82-I82&lt;0, ROUND(K82-I82, 2), IF(K82-I82=0, "0", "+" &amp; ROUND(K82-I82, 2)))</f>
        <v>0</v>
      </c>
      <c r="N82" s="92"/>
      <c r="O82" s="399"/>
      <c r="P82" s="92"/>
      <c r="Q82" s="391"/>
      <c r="R82" s="92"/>
      <c r="S82" s="351"/>
      <c r="T82" s="92"/>
      <c r="U82" s="403"/>
      <c r="V82" s="404"/>
      <c r="W82" s="405"/>
      <c r="X82" s="93"/>
    </row>
    <row r="83" spans="1:24" s="56" customFormat="1" ht="64.5" customHeight="1">
      <c r="A83" s="93"/>
      <c r="B83" s="92"/>
      <c r="C83" s="92"/>
      <c r="D83" s="92"/>
      <c r="E83" s="449"/>
      <c r="F83" s="449"/>
      <c r="G83" s="450"/>
      <c r="H83" s="92"/>
      <c r="I83" s="163">
        <f>VLOOKUP(I21 &amp; I12, 'DATABASE_SPACE '!A:DC, COLUMN(AP1), FALSE)</f>
        <v>1.19673545110745E-2</v>
      </c>
      <c r="J83" s="161"/>
      <c r="K83" s="164">
        <f>VLOOKUP(K21 &amp; I12, 'DATABASE_SPACE '!A:DC, COLUMN(AP1), FALSE)</f>
        <v>3.78897E-3</v>
      </c>
      <c r="L83" s="161"/>
      <c r="M83" s="170" t="str">
        <f>IF(K83-I83&lt;0, TEXT(K83-I83, "0.00%"), IF(K83-I83=0, "0.00%", "+" &amp; TEXT(K83-I83, "0.00%")))</f>
        <v>-0.82%</v>
      </c>
      <c r="N83" s="92"/>
      <c r="O83" s="406" t="s">
        <v>111</v>
      </c>
      <c r="P83" s="92"/>
      <c r="Q83" s="390" t="s">
        <v>112</v>
      </c>
      <c r="R83" s="92"/>
      <c r="S83" s="350"/>
      <c r="T83" s="92"/>
      <c r="U83" s="363" t="s">
        <v>113</v>
      </c>
      <c r="V83" s="364"/>
      <c r="W83" s="365"/>
      <c r="X83" s="93"/>
    </row>
    <row r="84" spans="1:24" s="56" customFormat="1" ht="64.5" customHeight="1">
      <c r="A84" s="93"/>
      <c r="B84" s="92"/>
      <c r="C84" s="92"/>
      <c r="D84" s="92"/>
      <c r="E84" s="411"/>
      <c r="F84" s="411"/>
      <c r="G84" s="412"/>
      <c r="H84" s="92"/>
      <c r="I84" s="165">
        <f>VLOOKUP(I21 &amp; I12, 'DATABASE_SPACE '!A:DC, COLUMN(AQ1), FALSE)</f>
        <v>3.1118314424635331E-3</v>
      </c>
      <c r="J84" s="169"/>
      <c r="K84" s="166">
        <f>VLOOKUP(K21 &amp; I12, 'DATABASE_SPACE '!A:DC, COLUMN(AQ1), FALSE)</f>
        <v>4.0322580000000004E-3</v>
      </c>
      <c r="L84" s="169"/>
      <c r="M84" s="172" t="str">
        <f t="shared" ref="M84" si="6">IF(K84-I84&lt;0, ROUND(K84-I84, 2), IF(K84-I84=0, "0", "+" &amp; ROUND(K84-I84, 2)))</f>
        <v>+0</v>
      </c>
      <c r="N84" s="92"/>
      <c r="O84" s="407"/>
      <c r="P84" s="92"/>
      <c r="Q84" s="391"/>
      <c r="R84" s="92"/>
      <c r="S84" s="351"/>
      <c r="T84" s="92"/>
      <c r="U84" s="366"/>
      <c r="V84" s="367"/>
      <c r="W84" s="368"/>
      <c r="X84" s="93"/>
    </row>
    <row r="85" spans="1:24" s="56" customFormat="1" ht="8.25" customHeight="1">
      <c r="A85" s="93"/>
      <c r="B85" s="92"/>
      <c r="C85" s="92"/>
      <c r="D85" s="92"/>
      <c r="E85" s="67"/>
      <c r="F85" s="67"/>
      <c r="G85" s="67"/>
      <c r="H85" s="92"/>
      <c r="I85" s="116"/>
      <c r="J85" s="116"/>
      <c r="K85" s="116"/>
      <c r="L85" s="116"/>
      <c r="M85" s="116"/>
      <c r="N85" s="92"/>
      <c r="O85" s="67"/>
      <c r="P85" s="92"/>
      <c r="Q85" s="92"/>
      <c r="R85" s="92"/>
      <c r="S85" s="92"/>
      <c r="T85" s="92"/>
      <c r="U85" s="314"/>
      <c r="V85" s="314"/>
      <c r="W85" s="314"/>
      <c r="X85" s="93"/>
    </row>
    <row r="86" spans="1:24" s="56" customFormat="1" ht="76.349999999999994" customHeight="1">
      <c r="A86" s="93"/>
      <c r="B86" s="92"/>
      <c r="C86" s="92"/>
      <c r="D86" s="92"/>
      <c r="E86" s="393" t="s">
        <v>114</v>
      </c>
      <c r="F86" s="393"/>
      <c r="G86" s="394"/>
      <c r="H86" s="92"/>
      <c r="I86" s="163">
        <f>VLOOKUP(I21 &amp; I12, 'DATABASE_SPACE '!A:DC, COLUMN(CE1), FALSE)</f>
        <v>0.90451539323287</v>
      </c>
      <c r="J86" s="161"/>
      <c r="K86" s="164">
        <f>VLOOKUP(K21 &amp; I12, 'DATABASE_SPACE '!A:DC, COLUMN(CE1), FALSE)</f>
        <v>0.97136065999999999</v>
      </c>
      <c r="L86" s="161"/>
      <c r="M86" s="170" t="str">
        <f>IF(K86-I86&lt;0, TEXT(K86-I86, "0.00%"), IF(K86-I86=0, "0.00%", "+" &amp; TEXT(K86-I86, "0.00%")))</f>
        <v>+6.68%</v>
      </c>
      <c r="N86" s="92"/>
      <c r="O86" s="157" t="s">
        <v>115</v>
      </c>
      <c r="P86" s="92"/>
      <c r="Q86" s="91" t="s">
        <v>116</v>
      </c>
      <c r="R86" s="92"/>
      <c r="S86" s="27"/>
      <c r="T86" s="92"/>
      <c r="U86" s="360" t="s">
        <v>113</v>
      </c>
      <c r="V86" s="361"/>
      <c r="W86" s="362"/>
      <c r="X86" s="93"/>
    </row>
    <row r="87" spans="1:24" s="56" customFormat="1" ht="22.35" customHeight="1">
      <c r="A87" s="93"/>
      <c r="B87" s="92"/>
      <c r="C87" s="92"/>
      <c r="D87" s="92"/>
      <c r="E87" s="393"/>
      <c r="F87" s="393"/>
      <c r="G87" s="394"/>
      <c r="H87" s="92"/>
      <c r="I87" s="173">
        <f>VLOOKUP(I21 &amp; I12, 'DATABASE_SPACE '!A:CG, COLUMN(CG1), FALSE)</f>
        <v>0.99974068071312805</v>
      </c>
      <c r="J87" s="169"/>
      <c r="K87" s="173">
        <f>VLOOKUP(K21 &amp; I12, 'DATABASE_SPACE '!A:CG, COLUMN(CG1), FALSE)</f>
        <v>0.99596774200000004</v>
      </c>
      <c r="L87" s="169"/>
      <c r="M87" s="174"/>
      <c r="N87" s="92"/>
      <c r="O87" s="158" t="s">
        <v>117</v>
      </c>
      <c r="P87" s="92"/>
      <c r="Q87" s="91"/>
      <c r="R87" s="92"/>
      <c r="S87" s="27"/>
      <c r="T87" s="92"/>
      <c r="U87" s="360"/>
      <c r="V87" s="361"/>
      <c r="W87" s="362"/>
      <c r="X87" s="93"/>
    </row>
    <row r="88" spans="1:24" s="56" customFormat="1" ht="22.5" customHeight="1">
      <c r="A88" s="93"/>
      <c r="B88" s="92"/>
      <c r="C88" s="92"/>
      <c r="D88" s="92"/>
      <c r="E88" s="393"/>
      <c r="F88" s="393"/>
      <c r="G88" s="394"/>
      <c r="H88" s="92"/>
      <c r="I88" s="163">
        <f>VLOOKUP(I21 &amp; I12, 'DATABASE_SPACE '!A:CG, COLUMN(CF1), FALSE)</f>
        <v>0.999999999999996</v>
      </c>
      <c r="J88" s="175"/>
      <c r="K88" s="163">
        <f>VLOOKUP(K21 &amp; I12, 'DATABASE_SPACE '!A:CG, COLUMN(CF1), FALSE)</f>
        <v>1</v>
      </c>
      <c r="L88" s="161"/>
      <c r="M88" s="176"/>
      <c r="N88" s="92"/>
      <c r="O88" s="158" t="s">
        <v>118</v>
      </c>
      <c r="P88" s="92"/>
      <c r="Q88" s="91"/>
      <c r="R88" s="92"/>
      <c r="S88" s="90"/>
      <c r="T88" s="92"/>
      <c r="U88" s="360"/>
      <c r="V88" s="361"/>
      <c r="W88" s="362"/>
      <c r="X88" s="93"/>
    </row>
    <row r="89" spans="1:24" s="56" customFormat="1" ht="8.85" customHeight="1">
      <c r="A89" s="93"/>
      <c r="B89" s="92"/>
      <c r="C89" s="92"/>
      <c r="D89" s="92"/>
      <c r="E89" s="67"/>
      <c r="F89" s="67"/>
      <c r="G89" s="67"/>
      <c r="H89" s="92"/>
      <c r="I89" s="116"/>
      <c r="J89" s="116"/>
      <c r="K89" s="116"/>
      <c r="L89" s="116"/>
      <c r="M89" s="116"/>
      <c r="N89" s="92"/>
      <c r="O89" s="67"/>
      <c r="P89" s="92"/>
      <c r="Q89" s="92"/>
      <c r="R89" s="92"/>
      <c r="S89" s="92"/>
      <c r="T89" s="92"/>
      <c r="U89" s="314"/>
      <c r="V89" s="314"/>
      <c r="W89" s="314"/>
      <c r="X89" s="93"/>
    </row>
    <row r="90" spans="1:24" s="56" customFormat="1" ht="61.5" customHeight="1">
      <c r="A90" s="93"/>
      <c r="B90" s="92"/>
      <c r="C90" s="92"/>
      <c r="D90" s="92"/>
      <c r="E90" s="393" t="s">
        <v>119</v>
      </c>
      <c r="F90" s="393"/>
      <c r="G90" s="394"/>
      <c r="H90" s="92"/>
      <c r="I90" s="165">
        <f>VLOOKUP(I21 &amp; I12, 'DATABASE_SPACE '!A:DC, COLUMN(BJ1), FALSE)</f>
        <v>0.95199779153629005</v>
      </c>
      <c r="J90" s="169"/>
      <c r="K90" s="166">
        <f>VLOOKUP(K21 &amp; I12, 'DATABASE_SPACE '!A:DC, COLUMN(BJ1), FALSE)</f>
        <v>0.95320255200000004</v>
      </c>
      <c r="L90" s="177"/>
      <c r="M90" s="172" t="str">
        <f t="shared" ref="M90" si="7">IF(K90-I90&lt;0, ROUND(K90-I90, 2), IF(K90-I90=0, "0", "+" &amp; ROUND(K90-I90, 2)))</f>
        <v>+0</v>
      </c>
      <c r="N90" s="92"/>
      <c r="O90" s="157" t="s">
        <v>120</v>
      </c>
      <c r="P90" s="92"/>
      <c r="Q90" s="91" t="s">
        <v>121</v>
      </c>
      <c r="R90" s="92"/>
      <c r="S90" s="27"/>
      <c r="T90" s="92"/>
      <c r="U90" s="360" t="s">
        <v>122</v>
      </c>
      <c r="V90" s="361"/>
      <c r="W90" s="362"/>
      <c r="X90" s="93"/>
    </row>
    <row r="91" spans="1:24" s="56" customFormat="1" ht="23.25" customHeight="1">
      <c r="A91" s="93"/>
      <c r="B91" s="92"/>
      <c r="C91" s="92"/>
      <c r="D91" s="92"/>
      <c r="E91" s="393"/>
      <c r="F91" s="393"/>
      <c r="G91" s="394"/>
      <c r="H91" s="92"/>
      <c r="I91" s="173">
        <f>VLOOKUP(I21 &amp; I12, 'DATABASE_SPACE '!A:CG, COLUMN(BM1), FALSE)</f>
        <v>0.73977309562398708</v>
      </c>
      <c r="J91" s="169"/>
      <c r="K91" s="173">
        <f>VLOOKUP(K21 &amp; I12, 'DATABASE_SPACE '!A:CG, COLUMN(BM1), FALSE)</f>
        <v>0.97177419399999998</v>
      </c>
      <c r="L91" s="177"/>
      <c r="M91" s="174"/>
      <c r="N91" s="92"/>
      <c r="O91" s="158" t="s">
        <v>123</v>
      </c>
      <c r="P91" s="92"/>
      <c r="Q91" s="91"/>
      <c r="R91" s="92"/>
      <c r="S91" s="27"/>
      <c r="T91" s="92"/>
      <c r="U91" s="360"/>
      <c r="V91" s="361"/>
      <c r="W91" s="362"/>
      <c r="X91" s="93"/>
    </row>
    <row r="92" spans="1:24" s="56" customFormat="1" ht="23.25" customHeight="1">
      <c r="A92" s="93"/>
      <c r="B92" s="92"/>
      <c r="C92" s="92"/>
      <c r="D92" s="92"/>
      <c r="E92" s="393"/>
      <c r="F92" s="393"/>
      <c r="G92" s="394"/>
      <c r="H92" s="92"/>
      <c r="I92" s="163">
        <f>VLOOKUP(I21 &amp; I12, 'DATABASE_SPACE '!A:CG, COLUMN(BL1), FALSE)</f>
        <v>0.92385864412049101</v>
      </c>
      <c r="J92" s="175"/>
      <c r="K92" s="163">
        <f>VLOOKUP(K21 &amp; I12, 'DATABASE_SPACE '!A:CG, COLUMN(BL1), FALSE)</f>
        <v>0.96354704999999996</v>
      </c>
      <c r="L92" s="116"/>
      <c r="M92" s="176"/>
      <c r="N92" s="92"/>
      <c r="O92" s="158" t="s">
        <v>118</v>
      </c>
      <c r="P92" s="92"/>
      <c r="Q92" s="91"/>
      <c r="R92" s="92"/>
      <c r="S92" s="90"/>
      <c r="T92" s="92"/>
      <c r="U92" s="360"/>
      <c r="V92" s="361"/>
      <c r="W92" s="362"/>
      <c r="X92" s="93"/>
    </row>
    <row r="93" spans="1:24" s="56" customFormat="1" ht="8.25" customHeight="1">
      <c r="A93" s="93"/>
      <c r="B93" s="92"/>
      <c r="C93" s="92"/>
      <c r="D93" s="92"/>
      <c r="E93" s="67"/>
      <c r="F93" s="67"/>
      <c r="G93" s="67"/>
      <c r="H93" s="92"/>
      <c r="I93" s="116"/>
      <c r="J93" s="116"/>
      <c r="K93" s="116"/>
      <c r="L93" s="116"/>
      <c r="M93" s="116"/>
      <c r="N93" s="92"/>
      <c r="O93" s="67"/>
      <c r="P93" s="92"/>
      <c r="Q93" s="92"/>
      <c r="R93" s="92"/>
      <c r="S93" s="92"/>
      <c r="T93" s="92"/>
      <c r="U93" s="314"/>
      <c r="V93" s="314"/>
      <c r="W93" s="314"/>
      <c r="X93" s="93"/>
    </row>
    <row r="94" spans="1:24" s="56" customFormat="1" ht="91.5" customHeight="1">
      <c r="A94" s="93"/>
      <c r="B94" s="92"/>
      <c r="C94" s="92"/>
      <c r="D94" s="92"/>
      <c r="E94" s="393" t="s">
        <v>124</v>
      </c>
      <c r="F94" s="393"/>
      <c r="G94" s="394"/>
      <c r="H94" s="92"/>
      <c r="I94" s="162">
        <f>VLOOKUP(I21 &amp; I12, 'DATABASE_SPACE '!A:DC, COLUMN(BG1), FALSE)</f>
        <v>0.51080388388360998</v>
      </c>
      <c r="J94" s="161"/>
      <c r="K94" s="159">
        <f>VLOOKUP(K21 &amp; I12, 'DATABASE_SPACE '!A:DC, COLUMN(BG1), FALSE)</f>
        <v>0.57896283500000001</v>
      </c>
      <c r="L94" s="116"/>
      <c r="M94" s="170" t="str">
        <f>IF(K94-I94&lt;0, ROUND(K94-I94, 2), IF(K94-I94=0, "0", "+" &amp; ROUND(K94-I94, 2)))</f>
        <v>+0.07</v>
      </c>
      <c r="N94" s="92"/>
      <c r="O94" s="157" t="s">
        <v>125</v>
      </c>
      <c r="P94" s="92"/>
      <c r="Q94" s="91" t="s">
        <v>126</v>
      </c>
      <c r="R94" s="92"/>
      <c r="S94" s="27"/>
      <c r="T94" s="92"/>
      <c r="U94" s="360" t="s">
        <v>127</v>
      </c>
      <c r="V94" s="361"/>
      <c r="W94" s="362"/>
      <c r="X94" s="93"/>
    </row>
    <row r="95" spans="1:24" s="56" customFormat="1" ht="22.5" customHeight="1">
      <c r="A95" s="93"/>
      <c r="B95" s="92"/>
      <c r="C95" s="92"/>
      <c r="D95" s="92"/>
      <c r="E95" s="393"/>
      <c r="F95" s="393"/>
      <c r="G95" s="394"/>
      <c r="H95" s="92"/>
      <c r="I95" s="173">
        <f>VLOOKUP(I21 &amp; I12, 'DATABASE_SPACE '!A:CG, COLUMN(BI1), FALSE)</f>
        <v>0.84460291734197734</v>
      </c>
      <c r="J95" s="169"/>
      <c r="K95" s="173">
        <f>VLOOKUP(K21 &amp; I12, 'DATABASE_SPACE '!A:CG, COLUMN(BI1), FALSE)</f>
        <v>0.99596774200000004</v>
      </c>
      <c r="L95" s="177"/>
      <c r="M95" s="174"/>
      <c r="N95" s="92"/>
      <c r="O95" s="158" t="s">
        <v>123</v>
      </c>
      <c r="P95" s="92"/>
      <c r="Q95" s="91"/>
      <c r="R95" s="92"/>
      <c r="S95" s="27"/>
      <c r="T95" s="92"/>
      <c r="U95" s="360"/>
      <c r="V95" s="361"/>
      <c r="W95" s="362"/>
      <c r="X95" s="93"/>
    </row>
    <row r="96" spans="1:24" s="56" customFormat="1" ht="22.5" customHeight="1">
      <c r="A96" s="93"/>
      <c r="B96" s="92"/>
      <c r="C96" s="92"/>
      <c r="D96" s="92"/>
      <c r="E96" s="393"/>
      <c r="F96" s="393"/>
      <c r="G96" s="394"/>
      <c r="H96" s="92"/>
      <c r="I96" s="163">
        <f>VLOOKUP(I21 &amp; I12, 'DATABASE_SPACE '!A:CG, COLUMN(BH1), FALSE)</f>
        <v>0.98277027103913905</v>
      </c>
      <c r="J96" s="175"/>
      <c r="K96" s="163">
        <f>VLOOKUP(K21 &amp; I12, 'DATABASE_SPACE '!A:CG, COLUMN(BH1), FALSE)</f>
        <v>0.98799435999999996</v>
      </c>
      <c r="L96" s="116"/>
      <c r="M96" s="176"/>
      <c r="N96" s="92"/>
      <c r="O96" s="158" t="s">
        <v>118</v>
      </c>
      <c r="P96" s="92"/>
      <c r="Q96" s="91"/>
      <c r="R96" s="92"/>
      <c r="S96" s="90"/>
      <c r="T96" s="92"/>
      <c r="U96" s="360"/>
      <c r="V96" s="361"/>
      <c r="W96" s="362"/>
      <c r="X96" s="93"/>
    </row>
    <row r="97" spans="1:24" s="56" customFormat="1" ht="8.25" customHeight="1">
      <c r="A97" s="93"/>
      <c r="B97" s="92"/>
      <c r="C97" s="92"/>
      <c r="D97" s="92"/>
      <c r="E97" s="67"/>
      <c r="F97" s="67"/>
      <c r="G97" s="67"/>
      <c r="H97" s="92"/>
      <c r="I97" s="116"/>
      <c r="J97" s="116"/>
      <c r="K97" s="116"/>
      <c r="L97" s="116"/>
      <c r="M97" s="116"/>
      <c r="N97" s="92"/>
      <c r="O97" s="67"/>
      <c r="P97" s="92"/>
      <c r="Q97" s="92"/>
      <c r="R97" s="92"/>
      <c r="S97" s="92"/>
      <c r="T97" s="92"/>
      <c r="U97" s="314"/>
      <c r="V97" s="314"/>
      <c r="W97" s="314"/>
      <c r="X97" s="93"/>
    </row>
    <row r="98" spans="1:24" s="56" customFormat="1" ht="97.9" customHeight="1">
      <c r="A98" s="93"/>
      <c r="B98" s="92"/>
      <c r="C98" s="92"/>
      <c r="D98" s="92"/>
      <c r="E98" s="393" t="s">
        <v>128</v>
      </c>
      <c r="F98" s="393"/>
      <c r="G98" s="394"/>
      <c r="H98" s="92"/>
      <c r="I98" s="162">
        <f>VLOOKUP(I21 &amp; I12, 'DATABASE_SPACE '!A:DC, COLUMN(BN1), FALSE)</f>
        <v>42.603361999458798</v>
      </c>
      <c r="J98" s="161"/>
      <c r="K98" s="159">
        <f>VLOOKUP(K21 &amp; I12, 'DATABASE_SPACE '!A:DC, COLUMN(BN1), FALSE)</f>
        <v>48.000981670000002</v>
      </c>
      <c r="L98" s="116"/>
      <c r="M98" s="170" t="str">
        <f t="shared" ref="M98" si="8">IF(K98-I98&lt;0, ROUND(K98-I98, 2), IF(K98-I98=0, "0", "+" &amp; ROUND(K98-I98, 2)))</f>
        <v>+5.4</v>
      </c>
      <c r="N98" s="92"/>
      <c r="O98" s="140" t="s">
        <v>129</v>
      </c>
      <c r="P98" s="92"/>
      <c r="Q98" s="91" t="s">
        <v>130</v>
      </c>
      <c r="R98" s="92"/>
      <c r="S98" s="27"/>
      <c r="T98" s="92"/>
      <c r="U98" s="424" t="s">
        <v>131</v>
      </c>
      <c r="V98" s="361"/>
      <c r="W98" s="362"/>
      <c r="X98" s="93"/>
    </row>
    <row r="99" spans="1:24" s="56" customFormat="1" ht="116.45" customHeight="1">
      <c r="A99" s="93"/>
      <c r="B99" s="92"/>
      <c r="C99" s="88"/>
      <c r="D99" s="92"/>
      <c r="E99" s="393"/>
      <c r="F99" s="393"/>
      <c r="G99" s="394"/>
      <c r="H99" s="92"/>
      <c r="I99" s="173">
        <f>VLOOKUP(I21 &amp; I12, 'DATABASE_SPACE '!A:CG, COLUMN(BP1), FALSE)</f>
        <v>0.44985413290113452</v>
      </c>
      <c r="J99" s="169"/>
      <c r="K99" s="173">
        <f>VLOOKUP(K21 &amp; I12, 'DATABASE_SPACE '!A:CG, COLUMN(BP1), FALSE)</f>
        <v>0.49193548399999998</v>
      </c>
      <c r="L99" s="177"/>
      <c r="M99" s="174"/>
      <c r="N99" s="92"/>
      <c r="O99" s="158" t="s">
        <v>123</v>
      </c>
      <c r="P99" s="92"/>
      <c r="Q99" s="91"/>
      <c r="R99" s="92"/>
      <c r="S99" s="27"/>
      <c r="T99" s="92"/>
      <c r="U99" s="360"/>
      <c r="V99" s="361"/>
      <c r="W99" s="362"/>
      <c r="X99" s="93"/>
    </row>
    <row r="100" spans="1:24" s="56" customFormat="1" ht="116.45" customHeight="1">
      <c r="A100" s="93"/>
      <c r="B100" s="92"/>
      <c r="C100" s="92"/>
      <c r="D100" s="92"/>
      <c r="E100" s="393"/>
      <c r="F100" s="393"/>
      <c r="G100" s="394"/>
      <c r="H100" s="92"/>
      <c r="I100" s="163">
        <f>VLOOKUP(I21 &amp; I12, 'DATABASE_SPACE '!A:CG, COLUMN(BO1), FALSE)</f>
        <v>0.46014878773949303</v>
      </c>
      <c r="J100" s="175"/>
      <c r="K100" s="163">
        <f>VLOOKUP(K21 &amp; I12, 'DATABASE_SPACE '!A:CG, COLUMN(BO1), FALSE)</f>
        <v>0.48991707000000001</v>
      </c>
      <c r="L100" s="116"/>
      <c r="M100" s="176"/>
      <c r="N100" s="92"/>
      <c r="O100" s="158" t="s">
        <v>118</v>
      </c>
      <c r="P100" s="92"/>
      <c r="Q100" s="91"/>
      <c r="R100" s="92"/>
      <c r="S100" s="90"/>
      <c r="T100" s="92"/>
      <c r="U100" s="360"/>
      <c r="V100" s="361"/>
      <c r="W100" s="362"/>
      <c r="X100" s="93"/>
    </row>
    <row r="101" spans="1:24" s="56" customFormat="1" ht="8.25" customHeight="1">
      <c r="A101" s="93"/>
      <c r="B101" s="92"/>
      <c r="C101" s="92"/>
      <c r="D101" s="92"/>
      <c r="E101" s="67"/>
      <c r="F101" s="67"/>
      <c r="G101" s="67"/>
      <c r="H101" s="92"/>
      <c r="I101" s="92"/>
      <c r="J101" s="92"/>
      <c r="K101" s="92"/>
      <c r="L101" s="92"/>
      <c r="M101" s="92"/>
      <c r="N101" s="92"/>
      <c r="O101" s="67"/>
      <c r="P101" s="92"/>
      <c r="Q101" s="135"/>
      <c r="R101" s="92"/>
      <c r="S101" s="92"/>
      <c r="T101" s="92"/>
      <c r="U101" s="314"/>
      <c r="V101" s="314"/>
      <c r="W101" s="314"/>
      <c r="X101" s="93"/>
    </row>
    <row r="102" spans="1:24" s="56" customFormat="1" ht="106.5" customHeight="1">
      <c r="A102" s="93"/>
      <c r="B102" s="92"/>
      <c r="C102" s="92"/>
      <c r="D102" s="92"/>
      <c r="E102" s="416" t="s">
        <v>132</v>
      </c>
      <c r="F102" s="417"/>
      <c r="G102" s="418"/>
      <c r="H102" s="92"/>
      <c r="I102" s="162">
        <f>VLOOKUP(I21 &amp; I12, 'DATABASE_SPACE '!A:DC, COLUMN(CZ1), FALSE)</f>
        <v>14</v>
      </c>
      <c r="J102" s="161"/>
      <c r="K102" s="159">
        <f>VLOOKUP(K21 &amp; I12, 'DATABASE_SPACE '!A:DC, COLUMN(CZ1), FALSE)</f>
        <v>0</v>
      </c>
      <c r="L102" s="116"/>
      <c r="M102" s="170">
        <f t="shared" ref="M102:M103" si="9">IF(K102-I102&lt;0, ROUND(K102-I102, 2), IF(K102-I102=0, "0", "+" &amp; ROUND(K102-I102, 2)))</f>
        <v>-14</v>
      </c>
      <c r="N102" s="92"/>
      <c r="O102" s="157" t="s">
        <v>133</v>
      </c>
      <c r="P102" s="92"/>
      <c r="Q102" s="91" t="s">
        <v>134</v>
      </c>
      <c r="R102" s="92"/>
      <c r="S102" s="27"/>
      <c r="T102" s="92"/>
      <c r="U102" s="360" t="s">
        <v>135</v>
      </c>
      <c r="V102" s="361"/>
      <c r="W102" s="362"/>
      <c r="X102" s="93"/>
    </row>
    <row r="103" spans="1:24" s="56" customFormat="1" ht="106.5" customHeight="1">
      <c r="A103" s="93"/>
      <c r="B103" s="92"/>
      <c r="C103" s="92"/>
      <c r="D103" s="92"/>
      <c r="E103" s="419"/>
      <c r="F103" s="419"/>
      <c r="G103" s="420"/>
      <c r="H103" s="92"/>
      <c r="I103" s="178">
        <f>VLOOKUP(I21 &amp; I12, 'DATABASE_SPACE '!A:DC, COLUMN(DA2), FALSE)</f>
        <v>1485145457.1600001</v>
      </c>
      <c r="J103" s="179"/>
      <c r="K103" s="180">
        <f>VLOOKUP(K21 &amp; I12, 'DATABASE_SPACE '!A:DC, COLUMN(DA2), FALSE)</f>
        <v>81000000</v>
      </c>
      <c r="L103" s="116"/>
      <c r="M103" s="170">
        <f t="shared" si="9"/>
        <v>-1404145457.1600001</v>
      </c>
      <c r="N103" s="92"/>
      <c r="O103" s="157" t="s">
        <v>136</v>
      </c>
      <c r="P103" s="92"/>
      <c r="Q103" s="91" t="s">
        <v>137</v>
      </c>
      <c r="R103" s="92"/>
      <c r="S103" s="27"/>
      <c r="T103" s="92"/>
      <c r="U103" s="421" t="s">
        <v>138</v>
      </c>
      <c r="V103" s="422"/>
      <c r="W103" s="423"/>
      <c r="X103" s="93"/>
    </row>
    <row r="104" spans="1:24" s="56" customFormat="1" ht="22.5" customHeight="1">
      <c r="A104" s="93"/>
      <c r="B104" s="92"/>
      <c r="C104" s="92"/>
      <c r="D104" s="92"/>
      <c r="E104" s="427"/>
      <c r="F104" s="427"/>
      <c r="G104" s="428"/>
      <c r="H104" s="92"/>
      <c r="I104" s="173">
        <f>VLOOKUP(I21 &amp; I12, 'DATABASE_SPACE '!A:DD, COLUMN(DD1), FALSE)</f>
        <v>0.3305024311183144</v>
      </c>
      <c r="J104" s="169"/>
      <c r="K104" s="173">
        <f>VLOOKUP(K21 &amp; I12, 'DATABASE_SPACE '!A:DD, COLUMN(DD1), FALSE)</f>
        <v>0.35887096800000001</v>
      </c>
      <c r="L104" s="116"/>
      <c r="M104" s="176"/>
      <c r="N104" s="92"/>
      <c r="O104" s="158" t="s">
        <v>123</v>
      </c>
      <c r="P104" s="92"/>
      <c r="Q104" s="91"/>
      <c r="R104" s="92"/>
      <c r="S104" s="27"/>
      <c r="T104" s="92"/>
      <c r="U104" s="413"/>
      <c r="V104" s="414"/>
      <c r="W104" s="415"/>
      <c r="X104" s="93"/>
    </row>
    <row r="105" spans="1:24" s="56" customFormat="1" ht="22.5" customHeight="1">
      <c r="A105" s="93"/>
      <c r="B105" s="92"/>
      <c r="C105" s="92"/>
      <c r="D105" s="92"/>
      <c r="E105" s="427"/>
      <c r="F105" s="427"/>
      <c r="G105" s="428"/>
      <c r="H105" s="92"/>
      <c r="I105" s="163">
        <f>VLOOKUP(I21 &amp; I12, 'DATABASE_SPACE '!A:DD, COLUMN(DB1), FALSE)</f>
        <v>0.232038996009545</v>
      </c>
      <c r="J105" s="175"/>
      <c r="K105" s="163">
        <f>VLOOKUP(K21 &amp; I12, 'DATABASE_SPACE '!A:DC, COLUMN(DB1), FALSE)</f>
        <v>0.36420838999999999</v>
      </c>
      <c r="L105" s="116"/>
      <c r="M105" s="176"/>
      <c r="N105" s="92"/>
      <c r="O105" s="158" t="s">
        <v>118</v>
      </c>
      <c r="P105" s="92"/>
      <c r="Q105" s="91"/>
      <c r="R105" s="92"/>
      <c r="S105" s="90"/>
      <c r="T105" s="92"/>
      <c r="U105" s="413"/>
      <c r="V105" s="414"/>
      <c r="W105" s="415"/>
      <c r="X105" s="93"/>
    </row>
    <row r="106" spans="1:24" s="56" customFormat="1" ht="40.9" customHeight="1">
      <c r="A106" s="93"/>
      <c r="B106" s="92"/>
      <c r="C106" s="92"/>
      <c r="D106" s="92"/>
      <c r="E106" s="92"/>
      <c r="F106" s="92"/>
      <c r="G106" s="92"/>
      <c r="H106" s="92"/>
      <c r="I106" s="116"/>
      <c r="J106" s="116"/>
      <c r="K106" s="116"/>
      <c r="L106" s="116"/>
      <c r="M106" s="116"/>
      <c r="N106" s="92"/>
      <c r="O106" s="67"/>
      <c r="P106" s="92"/>
      <c r="Q106" s="92"/>
      <c r="R106" s="92"/>
      <c r="S106" s="92"/>
      <c r="T106" s="92"/>
      <c r="U106" s="92"/>
      <c r="V106" s="92"/>
      <c r="W106" s="92"/>
      <c r="X106" s="93"/>
    </row>
    <row r="107" spans="1:24" s="56" customFormat="1" ht="22.5" customHeight="1">
      <c r="A107" s="93"/>
      <c r="B107" s="92"/>
      <c r="C107" s="92"/>
      <c r="D107" s="92"/>
      <c r="E107" s="75"/>
      <c r="F107" s="75"/>
      <c r="G107" s="75"/>
      <c r="H107" s="75"/>
      <c r="I107" s="75"/>
      <c r="J107" s="75"/>
      <c r="K107" s="75"/>
      <c r="L107" s="75"/>
      <c r="M107" s="75"/>
      <c r="N107" s="75"/>
      <c r="O107" s="75"/>
      <c r="P107" s="75"/>
      <c r="Q107" s="75"/>
      <c r="R107" s="75"/>
      <c r="S107" s="75"/>
      <c r="T107" s="75"/>
      <c r="U107" s="75"/>
      <c r="V107" s="75"/>
      <c r="W107" s="75"/>
      <c r="X107" s="93"/>
    </row>
    <row r="108" spans="1:24" s="56" customFormat="1" ht="45" customHeight="1">
      <c r="A108" s="93"/>
      <c r="B108" s="92"/>
      <c r="C108" s="92"/>
      <c r="D108" s="92"/>
      <c r="E108" s="75"/>
      <c r="F108" s="75"/>
      <c r="G108" s="75"/>
      <c r="H108" s="75"/>
      <c r="I108" s="75"/>
      <c r="J108" s="75"/>
      <c r="K108" s="75"/>
      <c r="L108" s="75"/>
      <c r="M108" s="75"/>
      <c r="N108" s="75"/>
      <c r="O108" s="75"/>
      <c r="P108" s="75"/>
      <c r="Q108" s="75"/>
      <c r="R108" s="75"/>
      <c r="S108" s="75"/>
      <c r="T108" s="75"/>
      <c r="U108" s="75"/>
      <c r="V108" s="75"/>
      <c r="W108" s="75"/>
      <c r="X108" s="93"/>
    </row>
    <row r="109" spans="1:24" s="56" customFormat="1" ht="54.75" customHeight="1">
      <c r="A109" s="93"/>
      <c r="B109" s="92"/>
      <c r="C109" s="92"/>
      <c r="D109" s="92"/>
      <c r="E109" s="75"/>
      <c r="F109" s="132"/>
      <c r="G109" s="75"/>
      <c r="H109" s="75"/>
      <c r="I109" s="75"/>
      <c r="J109" s="75"/>
      <c r="K109" s="75"/>
      <c r="L109" s="75"/>
      <c r="M109" s="75"/>
      <c r="N109" s="75"/>
      <c r="O109" s="75"/>
      <c r="P109" s="75"/>
      <c r="Q109" s="75"/>
      <c r="R109" s="75"/>
      <c r="S109" s="75"/>
      <c r="T109" s="75"/>
      <c r="U109" s="75"/>
      <c r="V109" s="75"/>
      <c r="W109" s="75"/>
      <c r="X109" s="93"/>
    </row>
    <row r="110" spans="1:24" s="56" customFormat="1" ht="8.25" customHeight="1">
      <c r="A110" s="93"/>
      <c r="B110" s="92"/>
      <c r="C110" s="92"/>
      <c r="D110" s="92"/>
      <c r="E110" s="92"/>
      <c r="F110" s="92"/>
      <c r="G110" s="92"/>
      <c r="H110" s="92"/>
      <c r="I110" s="92"/>
      <c r="J110" s="92"/>
      <c r="K110" s="92"/>
      <c r="L110" s="92"/>
      <c r="M110" s="92"/>
      <c r="N110" s="92"/>
      <c r="O110" s="92"/>
      <c r="P110" s="92"/>
      <c r="Q110" s="92"/>
      <c r="R110" s="92"/>
      <c r="S110" s="92"/>
      <c r="T110" s="92"/>
      <c r="U110" s="92"/>
      <c r="V110" s="92"/>
      <c r="W110" s="92"/>
      <c r="X110" s="93"/>
    </row>
    <row r="111" spans="1:24" s="56" customFormat="1" ht="75" customHeight="1">
      <c r="A111" s="50"/>
      <c r="B111" s="50"/>
      <c r="C111" s="50"/>
      <c r="D111" s="50"/>
      <c r="E111" s="50"/>
      <c r="F111" s="50"/>
      <c r="G111" s="50"/>
      <c r="H111" s="50"/>
      <c r="I111" s="50"/>
      <c r="J111" s="50"/>
      <c r="K111" s="50"/>
      <c r="L111" s="50"/>
      <c r="M111" s="50"/>
      <c r="N111" s="50"/>
      <c r="O111" s="50"/>
      <c r="P111" s="50"/>
      <c r="Q111" s="50"/>
      <c r="R111" s="50"/>
      <c r="S111" s="50"/>
      <c r="T111" s="50"/>
      <c r="U111" s="50"/>
      <c r="V111" s="50"/>
      <c r="W111" s="50"/>
      <c r="X111" s="50"/>
    </row>
    <row r="112" spans="1:24" s="56" customFormat="1" ht="15" customHeight="1">
      <c r="A112" s="93"/>
      <c r="B112" s="93"/>
      <c r="C112" s="93"/>
      <c r="D112" s="93"/>
      <c r="E112" s="93"/>
      <c r="F112" s="93"/>
      <c r="G112" s="93"/>
      <c r="H112" s="93"/>
      <c r="I112" s="93"/>
      <c r="J112" s="93"/>
      <c r="K112" s="93"/>
      <c r="L112" s="93"/>
      <c r="M112" s="93"/>
      <c r="N112" s="93"/>
      <c r="O112" s="93"/>
      <c r="P112" s="93"/>
      <c r="Q112" s="93"/>
      <c r="R112" s="93"/>
      <c r="S112" s="93"/>
      <c r="T112" s="93"/>
      <c r="U112" s="93"/>
      <c r="V112" s="93"/>
      <c r="W112" s="93"/>
      <c r="X112" s="93"/>
    </row>
    <row r="113" spans="1:24" s="56" customFormat="1" ht="30.75" customHeight="1">
      <c r="A113" s="93"/>
      <c r="B113" s="76" t="s">
        <v>91</v>
      </c>
      <c r="C113" s="93"/>
      <c r="D113" s="93"/>
      <c r="E113" s="93"/>
      <c r="F113" s="93"/>
      <c r="G113" s="93"/>
      <c r="H113" s="93"/>
      <c r="I113" s="93"/>
      <c r="J113" s="93"/>
      <c r="K113" s="93"/>
      <c r="L113" s="93"/>
      <c r="M113" s="93"/>
      <c r="N113" s="93"/>
      <c r="O113" s="93"/>
      <c r="P113" s="93"/>
      <c r="Q113" s="93"/>
      <c r="R113" s="93"/>
      <c r="S113" s="93"/>
      <c r="T113" s="93"/>
      <c r="U113" s="93"/>
      <c r="V113" s="93"/>
      <c r="W113" s="17" t="str">
        <f>W3</f>
        <v>September 2025</v>
      </c>
      <c r="X113" s="93"/>
    </row>
    <row r="114" spans="1:24" s="56" customFormat="1" ht="15" customHeight="1">
      <c r="A114" s="93"/>
      <c r="B114" s="16"/>
      <c r="C114" s="93"/>
      <c r="D114" s="93"/>
      <c r="E114" s="93"/>
      <c r="F114" s="93"/>
      <c r="G114" s="93"/>
      <c r="H114" s="93"/>
      <c r="I114" s="93"/>
      <c r="J114" s="93"/>
      <c r="K114" s="93"/>
      <c r="L114" s="93"/>
      <c r="M114" s="93"/>
      <c r="N114" s="93"/>
      <c r="O114" s="93"/>
      <c r="P114" s="93"/>
      <c r="Q114" s="93"/>
      <c r="R114" s="93"/>
      <c r="S114" s="93"/>
      <c r="T114" s="93"/>
      <c r="U114" s="93"/>
      <c r="V114" s="93"/>
      <c r="W114" s="17"/>
      <c r="X114" s="93"/>
    </row>
    <row r="115" spans="1:24" s="56" customFormat="1" ht="15" customHeight="1">
      <c r="A115" s="93"/>
      <c r="B115" s="93"/>
      <c r="C115" s="93"/>
      <c r="D115" s="93"/>
      <c r="E115" s="93"/>
      <c r="F115" s="93"/>
      <c r="G115" s="93"/>
      <c r="H115" s="93"/>
      <c r="I115" s="93"/>
      <c r="J115" s="93"/>
      <c r="K115" s="93"/>
      <c r="L115" s="93"/>
      <c r="M115" s="93"/>
      <c r="N115" s="93"/>
      <c r="O115" s="93"/>
      <c r="P115" s="93"/>
      <c r="Q115" s="117"/>
      <c r="R115" s="118"/>
      <c r="S115" s="118"/>
      <c r="T115" s="118"/>
      <c r="U115" s="118"/>
      <c r="V115" s="119"/>
      <c r="W115" s="116"/>
      <c r="X115" s="93"/>
    </row>
    <row r="116" spans="1:24" s="56" customFormat="1" ht="15" customHeight="1">
      <c r="A116" s="93"/>
      <c r="B116" s="352" t="s">
        <v>33</v>
      </c>
      <c r="C116" s="377"/>
      <c r="D116" s="377"/>
      <c r="E116" s="377"/>
      <c r="F116" s="377"/>
      <c r="G116" s="353"/>
      <c r="H116" s="57"/>
      <c r="I116" s="378" t="str">
        <f>I6</f>
        <v>VanEck Multi-Asset Allocation Indices Methodology</v>
      </c>
      <c r="J116" s="379"/>
      <c r="K116" s="379"/>
      <c r="L116" s="379"/>
      <c r="M116" s="380"/>
      <c r="N116" s="93"/>
      <c r="O116" s="93"/>
      <c r="P116" s="93"/>
      <c r="Q116" s="120"/>
      <c r="R116" s="94"/>
      <c r="S116" s="121"/>
      <c r="T116" s="121"/>
      <c r="U116" s="132"/>
      <c r="V116" s="102" t="s">
        <v>34</v>
      </c>
      <c r="W116" s="122"/>
      <c r="X116" s="93"/>
    </row>
    <row r="117" spans="1:24" s="56" customFormat="1" ht="4.5" customHeight="1">
      <c r="A117" s="93"/>
      <c r="B117" s="9"/>
      <c r="C117" s="9"/>
      <c r="D117" s="9"/>
      <c r="E117" s="9"/>
      <c r="F117" s="10"/>
      <c r="G117" s="10"/>
      <c r="H117" s="58"/>
      <c r="I117" s="19"/>
      <c r="J117" s="19"/>
      <c r="K117" s="19"/>
      <c r="L117" s="19"/>
      <c r="M117" s="19"/>
      <c r="N117" s="93"/>
      <c r="O117" s="93"/>
      <c r="P117" s="93"/>
      <c r="Q117" s="120"/>
      <c r="R117" s="124"/>
      <c r="S117" s="124"/>
      <c r="T117" s="116"/>
      <c r="U117" s="116"/>
      <c r="V117" s="125"/>
      <c r="W117" s="116"/>
      <c r="X117" s="93"/>
    </row>
    <row r="118" spans="1:24" s="56" customFormat="1" ht="15" customHeight="1">
      <c r="A118" s="93"/>
      <c r="B118" s="352" t="s">
        <v>35</v>
      </c>
      <c r="C118" s="377"/>
      <c r="D118" s="377"/>
      <c r="E118" s="377"/>
      <c r="F118" s="377"/>
      <c r="G118" s="353"/>
      <c r="H118" s="57"/>
      <c r="I118" s="378" t="str">
        <f>I8</f>
        <v>S&amp;P Global BMI</v>
      </c>
      <c r="J118" s="379"/>
      <c r="K118" s="379"/>
      <c r="L118" s="379"/>
      <c r="M118" s="380"/>
      <c r="N118" s="93"/>
      <c r="O118" s="93"/>
      <c r="P118" s="37"/>
      <c r="Q118" s="126"/>
      <c r="R118" s="103"/>
      <c r="S118" s="127"/>
      <c r="T118" s="128"/>
      <c r="U118" s="128"/>
      <c r="V118" s="129"/>
      <c r="W118" s="96"/>
      <c r="X118" s="93"/>
    </row>
    <row r="119" spans="1:24" s="56" customFormat="1" ht="4.5" customHeight="1">
      <c r="A119" s="93"/>
      <c r="B119" s="11"/>
      <c r="C119" s="11"/>
      <c r="D119" s="11"/>
      <c r="E119" s="12"/>
      <c r="F119" s="11"/>
      <c r="G119" s="11"/>
      <c r="H119" s="59"/>
      <c r="I119" s="59"/>
      <c r="J119" s="59"/>
      <c r="K119" s="59"/>
      <c r="L119" s="59"/>
      <c r="M119" s="59"/>
      <c r="N119" s="93"/>
      <c r="O119" s="93"/>
      <c r="P119" s="93"/>
      <c r="Q119" s="124"/>
      <c r="R119" s="124"/>
      <c r="S119" s="124"/>
      <c r="T119" s="116"/>
      <c r="U119" s="116"/>
      <c r="V119" s="116"/>
      <c r="W119" s="116"/>
      <c r="X119" s="93"/>
    </row>
    <row r="120" spans="1:24" s="56" customFormat="1" ht="15" customHeight="1">
      <c r="A120" s="93"/>
      <c r="B120" s="395" t="s">
        <v>92</v>
      </c>
      <c r="C120" s="396"/>
      <c r="D120" s="396"/>
      <c r="E120" s="396"/>
      <c r="F120" s="396"/>
      <c r="G120" s="397"/>
      <c r="H120" s="61"/>
      <c r="I120" s="446" t="str">
        <f>I10</f>
        <v>GPR Global 100 Index</v>
      </c>
      <c r="J120" s="447"/>
      <c r="K120" s="447"/>
      <c r="L120" s="447"/>
      <c r="M120" s="448"/>
      <c r="N120" s="93"/>
      <c r="O120" s="93"/>
      <c r="P120" s="93"/>
      <c r="Q120" s="97"/>
      <c r="R120" s="130"/>
      <c r="S120" s="97"/>
      <c r="T120" s="116"/>
      <c r="U120" s="116"/>
      <c r="V120" s="116"/>
      <c r="W120" s="96"/>
      <c r="X120" s="93"/>
    </row>
    <row r="121" spans="1:24" s="56" customFormat="1" ht="8.25" customHeight="1">
      <c r="A121" s="93"/>
      <c r="B121" s="5"/>
      <c r="C121" s="5"/>
      <c r="D121" s="5"/>
      <c r="E121" s="6"/>
      <c r="F121" s="7"/>
      <c r="G121" s="5"/>
      <c r="H121" s="62"/>
      <c r="I121" s="60"/>
      <c r="J121" s="60"/>
      <c r="K121" s="62"/>
      <c r="L121" s="60"/>
      <c r="M121" s="62"/>
      <c r="N121" s="93"/>
      <c r="O121" s="93"/>
      <c r="P121" s="93"/>
      <c r="Q121" s="124"/>
      <c r="R121" s="124"/>
      <c r="S121" s="124"/>
      <c r="T121" s="116"/>
      <c r="U121" s="116"/>
      <c r="V121" s="116"/>
      <c r="W121" s="116"/>
      <c r="X121" s="93"/>
    </row>
    <row r="122" spans="1:24" s="56" customFormat="1" ht="15" customHeight="1">
      <c r="A122" s="93"/>
      <c r="B122" s="5"/>
      <c r="C122" s="5"/>
      <c r="D122" s="5"/>
      <c r="E122" s="6"/>
      <c r="F122" s="352" t="s">
        <v>93</v>
      </c>
      <c r="G122" s="353"/>
      <c r="H122" s="61"/>
      <c r="I122" s="81">
        <f>I12</f>
        <v>45922</v>
      </c>
      <c r="J122" s="26"/>
      <c r="K122" s="92"/>
      <c r="L122" s="60"/>
      <c r="M122" s="62"/>
      <c r="N122" s="93"/>
      <c r="O122" s="93"/>
      <c r="P122" s="93"/>
      <c r="Q122" s="124"/>
      <c r="R122" s="98"/>
      <c r="S122" s="98"/>
      <c r="T122" s="98"/>
      <c r="U122" s="98"/>
      <c r="V122" s="98"/>
      <c r="W122" s="99"/>
      <c r="X122" s="93"/>
    </row>
    <row r="123" spans="1:24" s="56" customFormat="1" ht="15" customHeight="1">
      <c r="A123" s="93"/>
      <c r="B123" s="92"/>
      <c r="C123" s="92"/>
      <c r="D123" s="92"/>
      <c r="E123" s="92"/>
      <c r="F123" s="92"/>
      <c r="G123" s="92"/>
      <c r="H123" s="92"/>
      <c r="I123" s="92"/>
      <c r="J123" s="92"/>
      <c r="K123" s="92"/>
      <c r="L123" s="92"/>
      <c r="M123" s="92"/>
      <c r="N123" s="93"/>
      <c r="O123" s="93"/>
      <c r="P123" s="93"/>
      <c r="Q123" s="116"/>
      <c r="R123" s="124"/>
      <c r="S123" s="124"/>
      <c r="T123" s="116"/>
      <c r="U123" s="116"/>
      <c r="V123" s="116"/>
      <c r="W123" s="100"/>
      <c r="X123" s="93"/>
    </row>
    <row r="124" spans="1:24" s="56" customFormat="1" ht="15" customHeight="1">
      <c r="A124" s="93"/>
      <c r="B124" s="93"/>
      <c r="C124" s="93"/>
      <c r="D124" s="93"/>
      <c r="E124" s="93"/>
      <c r="F124" s="93"/>
      <c r="G124" s="93"/>
      <c r="H124" s="93"/>
      <c r="I124" s="93"/>
      <c r="J124" s="93"/>
      <c r="K124" s="93"/>
      <c r="L124" s="93"/>
      <c r="M124" s="93"/>
      <c r="N124" s="93"/>
      <c r="O124" s="93"/>
      <c r="P124" s="93"/>
      <c r="Q124" s="116"/>
      <c r="R124" s="98"/>
      <c r="S124" s="98"/>
      <c r="T124" s="98"/>
      <c r="U124" s="98"/>
      <c r="V124" s="98"/>
      <c r="W124" s="101"/>
      <c r="X124" s="93"/>
    </row>
    <row r="125" spans="1:24" s="56" customFormat="1" ht="18.75" customHeight="1">
      <c r="A125" s="93"/>
      <c r="B125" s="29" t="s">
        <v>139</v>
      </c>
      <c r="C125" s="4"/>
      <c r="D125" s="4"/>
      <c r="E125" s="92"/>
      <c r="F125" s="92"/>
      <c r="G125" s="92"/>
      <c r="H125" s="92"/>
      <c r="I125" s="92"/>
      <c r="J125" s="92"/>
      <c r="K125" s="92"/>
      <c r="L125" s="92"/>
      <c r="M125" s="92"/>
      <c r="N125" s="92"/>
      <c r="O125" s="4"/>
      <c r="P125" s="92"/>
      <c r="Q125" s="92"/>
      <c r="R125" s="123"/>
      <c r="S125" s="123"/>
      <c r="T125" s="92"/>
      <c r="U125" s="92"/>
      <c r="V125" s="92"/>
      <c r="W125" s="38"/>
      <c r="X125" s="93"/>
    </row>
    <row r="126" spans="1:24" s="56" customFormat="1" ht="8.25" customHeight="1">
      <c r="A126" s="93"/>
      <c r="B126" s="92"/>
      <c r="C126" s="92"/>
      <c r="D126" s="92"/>
      <c r="E126" s="92"/>
      <c r="F126" s="92"/>
      <c r="G126" s="92"/>
      <c r="H126" s="92"/>
      <c r="I126" s="92"/>
      <c r="J126" s="92"/>
      <c r="K126" s="92"/>
      <c r="L126" s="92"/>
      <c r="M126" s="92"/>
      <c r="N126" s="92"/>
      <c r="O126" s="92"/>
      <c r="P126" s="92"/>
      <c r="Q126" s="92"/>
      <c r="R126" s="92"/>
      <c r="S126" s="92"/>
      <c r="T126" s="92"/>
      <c r="U126" s="92"/>
      <c r="V126" s="92"/>
      <c r="W126" s="92"/>
      <c r="X126" s="93"/>
    </row>
    <row r="127" spans="1:24" s="56" customFormat="1" ht="45" customHeight="1">
      <c r="A127" s="93"/>
      <c r="B127" s="355"/>
      <c r="C127" s="355"/>
      <c r="D127" s="355"/>
      <c r="E127" s="356" t="s">
        <v>42</v>
      </c>
      <c r="F127" s="356"/>
      <c r="G127" s="356"/>
      <c r="H127" s="92"/>
      <c r="I127" s="136" t="str">
        <f>I118</f>
        <v>S&amp;P Global BMI</v>
      </c>
      <c r="J127" s="92"/>
      <c r="K127" s="72" t="str">
        <f>IF(I10=" &lt;&lt;&lt; Select Index &gt;&gt;&gt;","",I10)</f>
        <v>GPR Global 100 Index</v>
      </c>
      <c r="L127" s="92"/>
      <c r="M127" s="131" t="s">
        <v>43</v>
      </c>
      <c r="N127" s="92"/>
      <c r="O127" s="150" t="s">
        <v>44</v>
      </c>
      <c r="P127" s="92"/>
      <c r="Q127" s="31" t="s">
        <v>45</v>
      </c>
      <c r="R127" s="64"/>
      <c r="S127" s="25" t="s">
        <v>46</v>
      </c>
      <c r="T127" s="92"/>
      <c r="U127" s="357" t="s">
        <v>47</v>
      </c>
      <c r="V127" s="357"/>
      <c r="W127" s="357"/>
      <c r="X127" s="93"/>
    </row>
    <row r="128" spans="1:24" s="56" customFormat="1" ht="7.5" customHeight="1">
      <c r="A128" s="93"/>
      <c r="B128" s="92"/>
      <c r="C128" s="92"/>
      <c r="D128" s="92"/>
      <c r="E128" s="92"/>
      <c r="F128" s="92"/>
      <c r="G128" s="92"/>
      <c r="H128" s="92"/>
      <c r="I128" s="92"/>
      <c r="J128" s="92"/>
      <c r="K128" s="92"/>
      <c r="L128" s="92"/>
      <c r="M128" s="92"/>
      <c r="N128" s="92"/>
      <c r="O128" s="92"/>
      <c r="P128" s="92"/>
      <c r="Q128" s="92"/>
      <c r="R128" s="92"/>
      <c r="S128" s="92"/>
      <c r="T128" s="92"/>
      <c r="U128" s="92"/>
      <c r="V128" s="92"/>
      <c r="W128" s="92"/>
      <c r="X128" s="93"/>
    </row>
    <row r="129" spans="1:24" s="56" customFormat="1" ht="60" customHeight="1">
      <c r="A129" s="93"/>
      <c r="B129" s="92"/>
      <c r="C129" s="92"/>
      <c r="D129" s="92"/>
      <c r="E129" s="451" t="s">
        <v>140</v>
      </c>
      <c r="F129" s="451"/>
      <c r="G129" s="452"/>
      <c r="H129" s="92"/>
      <c r="I129" s="162">
        <f>VLOOKUP(I21 &amp; I12, 'DATABASE_SPACE '!A:DC, COLUMN(AZ1), FALSE)</f>
        <v>45.739187424653203</v>
      </c>
      <c r="J129" s="161"/>
      <c r="K129" s="159">
        <f>VLOOKUP(K21 &amp; I12, 'DATABASE_SPACE '!A:DC, COLUMN(AZ1), FALSE)</f>
        <v>68.030212390000003</v>
      </c>
      <c r="L129" s="161"/>
      <c r="M129" s="181" t="str">
        <f t="shared" ref="M129" si="10">IF(K129-I129&lt;0, ROUND(K129-I129, 2), IF(K129-I129=0, "0", "+" &amp; ROUND(K129-I129, 2)))</f>
        <v>+22.29</v>
      </c>
      <c r="N129" s="92"/>
      <c r="O129" s="316" t="s">
        <v>141</v>
      </c>
      <c r="P129" s="92"/>
      <c r="Q129" s="69" t="s">
        <v>142</v>
      </c>
      <c r="R129" s="92"/>
      <c r="S129" s="40"/>
      <c r="T129" s="92"/>
      <c r="U129" s="360" t="s">
        <v>143</v>
      </c>
      <c r="V129" s="361"/>
      <c r="W129" s="362"/>
      <c r="X129" s="93"/>
    </row>
    <row r="130" spans="1:24" s="56" customFormat="1" ht="7.5" customHeight="1">
      <c r="A130" s="93"/>
      <c r="B130" s="92"/>
      <c r="C130" s="92"/>
      <c r="D130" s="92"/>
      <c r="E130" s="315"/>
      <c r="F130" s="315"/>
      <c r="G130" s="315"/>
      <c r="H130" s="92"/>
      <c r="I130" s="116"/>
      <c r="J130" s="116"/>
      <c r="K130" s="116"/>
      <c r="L130" s="116"/>
      <c r="M130" s="116"/>
      <c r="N130" s="92"/>
      <c r="O130" s="67"/>
      <c r="P130" s="92"/>
      <c r="Q130" s="92"/>
      <c r="R130" s="92"/>
      <c r="S130" s="92"/>
      <c r="T130" s="92"/>
      <c r="U130" s="314"/>
      <c r="V130" s="314"/>
      <c r="W130" s="314"/>
      <c r="X130" s="93"/>
    </row>
    <row r="131" spans="1:24" s="56" customFormat="1" ht="45.75" customHeight="1">
      <c r="A131" s="93"/>
      <c r="B131" s="92"/>
      <c r="C131" s="92"/>
      <c r="D131" s="92"/>
      <c r="E131" s="451" t="s">
        <v>144</v>
      </c>
      <c r="F131" s="451"/>
      <c r="G131" s="452"/>
      <c r="H131" s="92"/>
      <c r="I131" s="163">
        <f>VLOOKUP(I21 &amp; I12, 'DATABASE_SPACE '!A:DC, COLUMN(CB1), FALSE)</f>
        <v>0.73627208498447605</v>
      </c>
      <c r="J131" s="182"/>
      <c r="K131" s="164">
        <f>VLOOKUP(K21 &amp; I12, 'DATABASE_SPACE '!A:DC, COLUMN(CB1), FALSE)</f>
        <v>0.73074665000000005</v>
      </c>
      <c r="L131" s="116"/>
      <c r="M131" s="181" t="str">
        <f>IF(K131-I131&lt;0, TEXT(K131-I131, "0.00%"), IF(K131-I131=0, "0.00%", "+" &amp; TEXT(K131-I131, "0.00%")))</f>
        <v>-0.55%</v>
      </c>
      <c r="N131" s="92"/>
      <c r="O131" s="316" t="s">
        <v>145</v>
      </c>
      <c r="P131" s="92"/>
      <c r="Q131" s="91" t="s">
        <v>146</v>
      </c>
      <c r="R131" s="92"/>
      <c r="S131" s="40"/>
      <c r="T131" s="92"/>
      <c r="U131" s="360" t="s">
        <v>147</v>
      </c>
      <c r="V131" s="361"/>
      <c r="W131" s="362"/>
      <c r="X131" s="93"/>
    </row>
    <row r="132" spans="1:24" s="56" customFormat="1" ht="24.75" customHeight="1">
      <c r="A132" s="93"/>
      <c r="B132" s="92"/>
      <c r="C132" s="92"/>
      <c r="D132" s="92"/>
      <c r="E132" s="451"/>
      <c r="F132" s="451"/>
      <c r="G132" s="452"/>
      <c r="H132" s="92"/>
      <c r="I132" s="173">
        <f>VLOOKUP(I21 &amp; I12, 'DATABASE_SPACE '!A:CG, COLUMN(CD1), FALSE)</f>
        <v>0.54327390599675851</v>
      </c>
      <c r="J132" s="169"/>
      <c r="K132" s="173">
        <f>VLOOKUP(K21 &amp; I12, 'DATABASE_SPACE '!A:CG, COLUMN(CD1), FALSE)</f>
        <v>0.17338709699999999</v>
      </c>
      <c r="L132" s="177"/>
      <c r="M132" s="183"/>
      <c r="N132" s="92"/>
      <c r="O132" s="158" t="s">
        <v>117</v>
      </c>
      <c r="P132" s="92"/>
      <c r="Q132" s="69"/>
      <c r="R132" s="92"/>
      <c r="S132" s="40"/>
      <c r="T132" s="92"/>
      <c r="U132" s="360"/>
      <c r="V132" s="361"/>
      <c r="W132" s="362"/>
      <c r="X132" s="93"/>
    </row>
    <row r="133" spans="1:24" s="56" customFormat="1" ht="24.75" customHeight="1">
      <c r="A133" s="93"/>
      <c r="B133" s="92"/>
      <c r="C133" s="92"/>
      <c r="D133" s="92"/>
      <c r="E133" s="451"/>
      <c r="F133" s="451"/>
      <c r="G133" s="452"/>
      <c r="H133" s="92"/>
      <c r="I133" s="163">
        <f>VLOOKUP(I21 &amp; I12, 'DATABASE_SPACE '!A:CG, COLUMN(CC1), FALSE)</f>
        <v>0.68982160918986501</v>
      </c>
      <c r="J133" s="175"/>
      <c r="K133" s="163">
        <f>VLOOKUP(K21 &amp; I12, 'DATABASE_SPACE '!A:CG, COLUMN(CC1), FALSE)</f>
        <v>0.17433219999999999</v>
      </c>
      <c r="L133" s="116"/>
      <c r="M133" s="184"/>
      <c r="N133" s="92"/>
      <c r="O133" s="158" t="s">
        <v>118</v>
      </c>
      <c r="P133" s="92"/>
      <c r="Q133" s="69"/>
      <c r="R133" s="92"/>
      <c r="S133" s="40"/>
      <c r="T133" s="92"/>
      <c r="U133" s="360"/>
      <c r="V133" s="361"/>
      <c r="W133" s="362"/>
      <c r="X133" s="93"/>
    </row>
    <row r="134" spans="1:24" s="56" customFormat="1" ht="7.5" customHeight="1">
      <c r="A134" s="93"/>
      <c r="B134" s="93"/>
      <c r="C134" s="93"/>
      <c r="D134" s="93"/>
      <c r="E134" s="317"/>
      <c r="F134" s="317"/>
      <c r="G134" s="317"/>
      <c r="H134" s="93"/>
      <c r="I134" s="132"/>
      <c r="J134" s="132"/>
      <c r="K134" s="132"/>
      <c r="L134" s="132"/>
      <c r="M134" s="132"/>
      <c r="N134" s="93"/>
      <c r="O134" s="317"/>
      <c r="P134" s="93"/>
      <c r="Q134" s="93"/>
      <c r="R134" s="93"/>
      <c r="S134" s="93"/>
      <c r="T134" s="93"/>
      <c r="U134" s="318"/>
      <c r="V134" s="318"/>
      <c r="W134" s="318"/>
      <c r="X134" s="93"/>
    </row>
    <row r="135" spans="1:24" s="56" customFormat="1" ht="45.75" customHeight="1">
      <c r="A135" s="93"/>
      <c r="B135" s="93"/>
      <c r="C135" s="92"/>
      <c r="D135" s="92"/>
      <c r="E135" s="451" t="s">
        <v>148</v>
      </c>
      <c r="F135" s="451"/>
      <c r="G135" s="452"/>
      <c r="H135" s="92"/>
      <c r="I135" s="163">
        <f>VLOOKUP(I21 &amp; I12, 'DATABASE_SPACE '!A:DC, COLUMN(BT1), FALSE)/100</f>
        <v>0.31884264101065196</v>
      </c>
      <c r="J135" s="177"/>
      <c r="K135" s="164">
        <f>VLOOKUP(K21 &amp; I12, 'DATABASE_SPACE '!A:DC, COLUMN(BT1), FALSE)/100</f>
        <v>0.34740835219999999</v>
      </c>
      <c r="L135" s="116"/>
      <c r="M135" s="181" t="str">
        <f>IF(K135-I135&lt;0, TEXT(K135-I135, "0.00%"), IF(K135-I135=0, "0.00%", "+" &amp; TEXT(K135-I135, "0.00%")))</f>
        <v>+2.86%</v>
      </c>
      <c r="N135" s="92"/>
      <c r="O135" s="316" t="s">
        <v>149</v>
      </c>
      <c r="P135" s="92"/>
      <c r="Q135" s="91" t="s">
        <v>150</v>
      </c>
      <c r="R135" s="92"/>
      <c r="S135" s="40"/>
      <c r="T135" s="92"/>
      <c r="U135" s="360" t="s">
        <v>151</v>
      </c>
      <c r="V135" s="361"/>
      <c r="W135" s="362"/>
      <c r="X135" s="93"/>
    </row>
    <row r="136" spans="1:24" s="56" customFormat="1" ht="24.75" customHeight="1">
      <c r="A136" s="93"/>
      <c r="B136" s="93"/>
      <c r="C136" s="92"/>
      <c r="D136" s="92"/>
      <c r="E136" s="453"/>
      <c r="F136" s="453"/>
      <c r="G136" s="454"/>
      <c r="H136" s="92"/>
      <c r="I136" s="173">
        <f>VLOOKUP(I21 &amp; I12, 'DATABASE_SPACE '!A:CG, COLUMN(BV1), FALSE)</f>
        <v>0.44985413290113452</v>
      </c>
      <c r="J136" s="169"/>
      <c r="K136" s="173">
        <f>VLOOKUP(K21 &amp; I12, 'DATABASE_SPACE '!A:CG, COLUMN(BV1), FALSE)</f>
        <v>0.49193548399999998</v>
      </c>
      <c r="L136" s="177"/>
      <c r="M136" s="185"/>
      <c r="N136" s="92"/>
      <c r="O136" s="86" t="s">
        <v>117</v>
      </c>
      <c r="P136" s="92"/>
      <c r="Q136" s="69"/>
      <c r="R136" s="92"/>
      <c r="S136" s="40"/>
      <c r="T136" s="92"/>
      <c r="U136" s="413"/>
      <c r="V136" s="414"/>
      <c r="W136" s="415"/>
      <c r="X136" s="93"/>
    </row>
    <row r="137" spans="1:24" s="56" customFormat="1" ht="24.75" customHeight="1">
      <c r="A137" s="93"/>
      <c r="B137" s="93"/>
      <c r="C137" s="92"/>
      <c r="D137" s="92"/>
      <c r="E137" s="453"/>
      <c r="F137" s="453"/>
      <c r="G137" s="454"/>
      <c r="H137" s="92"/>
      <c r="I137" s="173">
        <f>VLOOKUP(I21 &amp; I12, 'DATABASE_SPACE '!A:CG, COLUMN(BU2), FALSE)</f>
        <v>0.98278224312425799</v>
      </c>
      <c r="J137" s="175"/>
      <c r="K137" s="173">
        <f>VLOOKUP(K21 &amp; I12, 'DATABASE_SPACE '!A:CG, COLUMN(BU2), FALSE)</f>
        <v>0.98799435999999996</v>
      </c>
      <c r="L137" s="116"/>
      <c r="M137" s="186"/>
      <c r="N137" s="92"/>
      <c r="O137" s="86" t="s">
        <v>118</v>
      </c>
      <c r="P137" s="92"/>
      <c r="Q137" s="69"/>
      <c r="R137" s="92"/>
      <c r="S137" s="40"/>
      <c r="T137" s="92"/>
      <c r="U137" s="413"/>
      <c r="V137" s="414"/>
      <c r="W137" s="415"/>
      <c r="X137" s="93"/>
    </row>
    <row r="138" spans="1:24" s="56" customFormat="1" ht="8.25" customHeight="1">
      <c r="A138" s="93"/>
      <c r="B138" s="93"/>
      <c r="C138" s="93"/>
      <c r="D138" s="93"/>
      <c r="E138" s="93"/>
      <c r="F138" s="93"/>
      <c r="G138" s="93"/>
      <c r="H138" s="93"/>
      <c r="I138" s="93"/>
      <c r="J138" s="93"/>
      <c r="K138" s="93"/>
      <c r="L138" s="93"/>
      <c r="M138" s="93"/>
      <c r="N138" s="93"/>
      <c r="O138" s="93"/>
      <c r="P138" s="93"/>
      <c r="Q138" s="93"/>
      <c r="R138" s="93"/>
      <c r="S138" s="93"/>
      <c r="T138" s="93"/>
      <c r="U138" s="93"/>
      <c r="V138" s="93"/>
      <c r="W138" s="93"/>
      <c r="X138" s="93"/>
    </row>
    <row r="139" spans="1:24" s="56" customFormat="1" ht="15" customHeight="1">
      <c r="A139" s="93"/>
      <c r="B139" s="33"/>
      <c r="C139" s="1"/>
      <c r="D139" s="1"/>
      <c r="E139" s="1"/>
      <c r="F139" s="1"/>
      <c r="G139" s="1"/>
      <c r="H139" s="35"/>
      <c r="I139" s="1"/>
      <c r="J139" s="93"/>
      <c r="K139" s="93"/>
      <c r="L139" s="93"/>
      <c r="M139" s="93"/>
      <c r="N139" s="93"/>
      <c r="O139" s="93"/>
      <c r="P139" s="93"/>
      <c r="Q139" s="93"/>
      <c r="R139" s="93"/>
      <c r="S139" s="93"/>
      <c r="T139" s="93"/>
      <c r="U139" s="93"/>
      <c r="V139" s="93"/>
      <c r="W139" s="93"/>
      <c r="X139" s="93"/>
    </row>
    <row r="140" spans="1:24" s="56" customFormat="1" ht="15" customHeight="1">
      <c r="A140" s="93"/>
      <c r="B140" s="93"/>
      <c r="C140" s="93"/>
      <c r="D140" s="93"/>
      <c r="E140" s="93"/>
      <c r="F140" s="93"/>
      <c r="G140" s="93"/>
      <c r="H140" s="93"/>
      <c r="I140" s="93"/>
      <c r="J140" s="93"/>
      <c r="K140" s="93"/>
      <c r="L140" s="93"/>
      <c r="M140" s="93"/>
      <c r="N140" s="93"/>
      <c r="O140" s="93"/>
      <c r="P140" s="93"/>
      <c r="Q140" s="93"/>
      <c r="R140" s="93"/>
      <c r="S140" s="93"/>
      <c r="T140" s="93"/>
      <c r="U140" s="93"/>
      <c r="V140" s="93"/>
      <c r="W140" s="93"/>
      <c r="X140" s="93"/>
    </row>
    <row r="141" spans="1:24" s="56" customFormat="1" ht="18.75" customHeight="1">
      <c r="A141" s="93"/>
      <c r="B141" s="30" t="s">
        <v>152</v>
      </c>
      <c r="C141" s="30"/>
      <c r="D141" s="93"/>
      <c r="E141" s="93"/>
      <c r="F141" s="93"/>
      <c r="G141" s="93"/>
      <c r="H141" s="93"/>
      <c r="I141" s="93"/>
      <c r="J141" s="93"/>
      <c r="K141" s="93"/>
      <c r="L141" s="93"/>
      <c r="M141" s="93"/>
      <c r="N141" s="93"/>
      <c r="O141" s="93"/>
      <c r="P141" s="93"/>
      <c r="Q141" s="93"/>
      <c r="R141" s="93"/>
      <c r="S141" s="93"/>
      <c r="T141" s="93"/>
      <c r="U141" s="93"/>
      <c r="V141" s="93"/>
      <c r="W141" s="93"/>
      <c r="X141" s="93"/>
    </row>
    <row r="142" spans="1:24" s="56" customFormat="1" ht="7.5" customHeight="1">
      <c r="A142" s="93"/>
      <c r="B142" s="93"/>
      <c r="C142" s="93"/>
      <c r="D142" s="93"/>
      <c r="E142" s="93"/>
      <c r="F142" s="93"/>
      <c r="G142" s="93"/>
      <c r="H142" s="93"/>
      <c r="I142" s="93"/>
      <c r="J142" s="93"/>
      <c r="K142" s="93"/>
      <c r="L142" s="93"/>
      <c r="M142" s="93"/>
      <c r="N142" s="93"/>
      <c r="O142" s="93"/>
      <c r="P142" s="93"/>
      <c r="Q142" s="93"/>
      <c r="R142" s="93"/>
      <c r="S142" s="93"/>
      <c r="T142" s="93"/>
      <c r="U142" s="93"/>
      <c r="V142" s="93"/>
      <c r="W142" s="93"/>
      <c r="X142" s="93"/>
    </row>
    <row r="143" spans="1:24" s="56" customFormat="1" ht="45" customHeight="1">
      <c r="A143" s="93"/>
      <c r="B143" s="25"/>
      <c r="C143" s="25"/>
      <c r="D143" s="25"/>
      <c r="E143" s="92"/>
      <c r="F143" s="92"/>
      <c r="G143" s="92"/>
      <c r="H143" s="92"/>
      <c r="I143" s="136" t="str">
        <f>I118</f>
        <v>S&amp;P Global BMI</v>
      </c>
      <c r="J143" s="92"/>
      <c r="K143" s="73" t="str">
        <f>IF(I10=" &lt;&lt;&lt; Select Index &gt;&gt;&gt;","",I10)</f>
        <v>GPR Global 100 Index</v>
      </c>
      <c r="L143" s="92"/>
      <c r="M143" s="92"/>
      <c r="N143" s="92"/>
      <c r="O143" s="443" t="s">
        <v>153</v>
      </c>
      <c r="P143" s="443"/>
      <c r="Q143" s="443"/>
      <c r="R143" s="92"/>
      <c r="S143" s="139" t="s">
        <v>154</v>
      </c>
      <c r="T143" s="92"/>
      <c r="U143" s="31"/>
      <c r="V143" s="31"/>
      <c r="W143" s="31"/>
      <c r="X143" s="132"/>
    </row>
    <row r="144" spans="1:24" s="56" customFormat="1" ht="8.25" customHeight="1">
      <c r="A144" s="93"/>
      <c r="B144" s="93"/>
      <c r="C144" s="93"/>
      <c r="D144" s="93"/>
      <c r="E144" s="93"/>
      <c r="F144" s="93"/>
      <c r="G144" s="93"/>
      <c r="H144" s="93"/>
      <c r="I144" s="93"/>
      <c r="J144" s="93"/>
      <c r="K144" s="93"/>
      <c r="L144" s="93"/>
      <c r="M144" s="92"/>
      <c r="N144" s="93"/>
      <c r="O144" s="93"/>
      <c r="P144" s="93"/>
      <c r="Q144" s="93"/>
      <c r="R144" s="93"/>
      <c r="S144" s="93"/>
      <c r="T144" s="93"/>
      <c r="U144" s="93"/>
      <c r="V144" s="93"/>
      <c r="W144" s="93"/>
      <c r="X144" s="93"/>
    </row>
    <row r="145" spans="1:24" s="56" customFormat="1" ht="15.75">
      <c r="A145" s="93"/>
      <c r="B145" s="93"/>
      <c r="C145" s="93"/>
      <c r="D145" s="93"/>
      <c r="E145" s="444" t="s">
        <v>155</v>
      </c>
      <c r="F145" s="444"/>
      <c r="G145" s="445"/>
      <c r="H145" s="92"/>
      <c r="I145" s="77">
        <f>VLOOKUP(I21 &amp; I12, 'DATABASE_SPACE '!A:DC, COLUMN(J1), FALSE)</f>
        <v>15425</v>
      </c>
      <c r="J145" s="78"/>
      <c r="K145" s="79">
        <f>VLOOKUP(K21 &amp; I12, 'DATABASE_SPACE '!A:DC, COLUMN(J1), FALSE)</f>
        <v>248</v>
      </c>
      <c r="L145" s="92"/>
      <c r="M145" s="92"/>
      <c r="N145" s="93"/>
      <c r="O145" s="93"/>
      <c r="P145" s="93"/>
      <c r="Q145" s="93"/>
      <c r="R145" s="93"/>
      <c r="S145" s="93"/>
      <c r="T145" s="93"/>
      <c r="U145" s="93"/>
      <c r="V145" s="93"/>
      <c r="W145" s="93"/>
      <c r="X145" s="93"/>
    </row>
    <row r="146" spans="1:24" s="56" customFormat="1" ht="8.25" customHeight="1">
      <c r="A146" s="93"/>
      <c r="B146" s="93"/>
      <c r="C146" s="93"/>
      <c r="D146" s="93"/>
      <c r="E146" s="93"/>
      <c r="F146" s="93"/>
      <c r="G146" s="93"/>
      <c r="H146" s="93"/>
      <c r="I146" s="78"/>
      <c r="J146" s="78"/>
      <c r="K146" s="80"/>
      <c r="L146" s="93"/>
      <c r="M146" s="92"/>
      <c r="N146" s="93"/>
      <c r="O146" s="93"/>
      <c r="P146" s="93"/>
      <c r="Q146" s="93"/>
      <c r="R146" s="93"/>
      <c r="S146" s="93"/>
      <c r="T146" s="93"/>
      <c r="U146" s="93"/>
      <c r="V146" s="93"/>
      <c r="W146" s="93"/>
      <c r="X146" s="93"/>
    </row>
    <row r="147" spans="1:24" s="56" customFormat="1" ht="15" customHeight="1">
      <c r="A147" s="93"/>
      <c r="B147" s="93"/>
      <c r="C147" s="93"/>
      <c r="D147" s="93"/>
      <c r="E147" s="93"/>
      <c r="F147" s="93"/>
      <c r="G147" s="93"/>
      <c r="H147" s="93"/>
      <c r="I147" s="78"/>
      <c r="J147" s="78"/>
      <c r="K147" s="80"/>
      <c r="L147" s="93"/>
      <c r="M147" s="92"/>
      <c r="N147" s="93"/>
      <c r="O147" s="93"/>
      <c r="P147" s="93"/>
      <c r="Q147" s="93"/>
      <c r="R147" s="93"/>
      <c r="S147" s="93"/>
      <c r="T147" s="93"/>
      <c r="U147" s="93"/>
      <c r="V147" s="93"/>
      <c r="W147" s="93"/>
      <c r="X147" s="93"/>
    </row>
    <row r="148" spans="1:24" s="56" customFormat="1" ht="15" customHeight="1">
      <c r="A148" s="93"/>
      <c r="B148" s="93"/>
      <c r="C148" s="93"/>
      <c r="D148" s="93"/>
      <c r="E148" s="93"/>
      <c r="F148" s="93"/>
      <c r="G148" s="74" t="s">
        <v>156</v>
      </c>
      <c r="H148" s="93"/>
      <c r="I148" s="78"/>
      <c r="J148" s="78"/>
      <c r="K148" s="80"/>
      <c r="L148" s="93"/>
      <c r="M148" s="92"/>
      <c r="N148" s="93"/>
      <c r="O148" s="93"/>
      <c r="P148" s="93"/>
      <c r="Q148" s="93"/>
      <c r="R148" s="93"/>
      <c r="S148" s="93"/>
      <c r="T148" s="93"/>
      <c r="U148" s="93"/>
      <c r="V148" s="93"/>
      <c r="W148" s="93"/>
      <c r="X148" s="93"/>
    </row>
    <row r="149" spans="1:24" s="56" customFormat="1" ht="8.25" customHeight="1">
      <c r="A149" s="93"/>
      <c r="B149" s="93"/>
      <c r="C149" s="93"/>
      <c r="D149" s="93"/>
      <c r="E149" s="93"/>
      <c r="F149" s="93"/>
      <c r="G149" s="93"/>
      <c r="H149" s="93"/>
      <c r="I149" s="187"/>
      <c r="J149" s="187"/>
      <c r="K149" s="188"/>
      <c r="L149" s="93"/>
      <c r="M149" s="92"/>
      <c r="N149" s="93"/>
      <c r="O149" s="93"/>
      <c r="P149" s="93"/>
      <c r="Q149" s="93"/>
      <c r="R149" s="93"/>
      <c r="S149" s="93"/>
      <c r="T149" s="93"/>
      <c r="U149" s="93"/>
      <c r="V149" s="93"/>
      <c r="W149" s="93"/>
      <c r="X149" s="93"/>
    </row>
    <row r="150" spans="1:24" s="56" customFormat="1" ht="15.75">
      <c r="A150" s="93"/>
      <c r="B150" s="93"/>
      <c r="C150" s="93"/>
      <c r="D150" s="93"/>
      <c r="E150" s="429" t="s">
        <v>157</v>
      </c>
      <c r="F150" s="429"/>
      <c r="G150" s="430"/>
      <c r="H150" s="92"/>
      <c r="I150" s="189">
        <f>VLOOKUP($I$21 &amp; $I$12, 'DATABASE_SPACE '!A:DC, COLUMN(L1), FALSE)</f>
        <v>0.67896272285251213</v>
      </c>
      <c r="J150" s="190"/>
      <c r="K150" s="191">
        <f>VLOOKUP($K$21 &amp; $I$12, 'DATABASE_SPACE '!A:DC, COLUMN(L1), FALSE)</f>
        <v>0.99596774200000004</v>
      </c>
      <c r="L150" s="92"/>
      <c r="M150" s="92"/>
      <c r="N150" s="93"/>
      <c r="O150" s="431" t="s">
        <v>158</v>
      </c>
      <c r="P150" s="432"/>
      <c r="Q150" s="433"/>
      <c r="R150" s="93"/>
      <c r="S150" s="350"/>
      <c r="T150" s="93"/>
      <c r="U150" s="93"/>
      <c r="V150" s="93"/>
      <c r="W150" s="93"/>
      <c r="X150" s="93"/>
    </row>
    <row r="151" spans="1:24" s="56" customFormat="1" ht="15.75">
      <c r="A151" s="93"/>
      <c r="B151" s="93"/>
      <c r="C151" s="93"/>
      <c r="D151" s="93"/>
      <c r="E151" s="429" t="s">
        <v>159</v>
      </c>
      <c r="F151" s="429"/>
      <c r="G151" s="430"/>
      <c r="H151" s="92"/>
      <c r="I151" s="192">
        <f>VLOOKUP($I$21 &amp; $I$12, 'DATABASE_SPACE '!A:DC, COLUMN(M1), FALSE)</f>
        <v>0.978775914231238</v>
      </c>
      <c r="J151" s="187"/>
      <c r="K151" s="193">
        <f>VLOOKUP($K$21 &amp; $I$12, 'DATABASE_SPACE '!A:DC, COLUMN(M1), FALSE)</f>
        <v>0.98799435999999996</v>
      </c>
      <c r="L151" s="92"/>
      <c r="M151" s="92"/>
      <c r="N151" s="93"/>
      <c r="O151" s="434"/>
      <c r="P151" s="435"/>
      <c r="Q151" s="436"/>
      <c r="R151" s="93"/>
      <c r="S151" s="351"/>
      <c r="T151" s="93"/>
      <c r="U151" s="93"/>
      <c r="V151" s="93"/>
      <c r="W151" s="93"/>
      <c r="X151" s="93"/>
    </row>
    <row r="152" spans="1:24" s="56" customFormat="1" ht="8.25" customHeight="1">
      <c r="A152" s="93"/>
      <c r="B152" s="93"/>
      <c r="C152" s="93"/>
      <c r="D152" s="93"/>
      <c r="E152" s="93"/>
      <c r="F152" s="93"/>
      <c r="G152" s="93"/>
      <c r="H152" s="93"/>
      <c r="I152" s="187"/>
      <c r="J152" s="187"/>
      <c r="K152" s="188"/>
      <c r="L152" s="93"/>
      <c r="M152" s="92"/>
      <c r="N152" s="93"/>
      <c r="O152" s="93"/>
      <c r="P152" s="93"/>
      <c r="Q152" s="93"/>
      <c r="R152" s="93"/>
      <c r="S152" s="93"/>
      <c r="T152" s="93"/>
      <c r="U152" s="93"/>
      <c r="V152" s="93"/>
      <c r="W152" s="93"/>
      <c r="X152" s="93"/>
    </row>
    <row r="153" spans="1:24" s="56" customFormat="1" ht="15" customHeight="1">
      <c r="A153" s="93"/>
      <c r="B153" s="93"/>
      <c r="C153" s="93"/>
      <c r="D153" s="93"/>
      <c r="E153" s="93"/>
      <c r="F153" s="93"/>
      <c r="G153" s="93"/>
      <c r="H153" s="93"/>
      <c r="I153" s="187"/>
      <c r="J153" s="187"/>
      <c r="K153" s="188"/>
      <c r="L153" s="93"/>
      <c r="M153" s="92"/>
      <c r="N153" s="93"/>
      <c r="O153" s="93"/>
      <c r="P153" s="93"/>
      <c r="Q153" s="93"/>
      <c r="R153" s="93"/>
      <c r="S153" s="93"/>
      <c r="T153" s="93"/>
      <c r="U153" s="93"/>
      <c r="V153" s="93"/>
      <c r="W153" s="93"/>
      <c r="X153" s="93"/>
    </row>
    <row r="154" spans="1:24" s="56" customFormat="1" ht="15" customHeight="1">
      <c r="A154" s="93"/>
      <c r="B154" s="93"/>
      <c r="C154" s="93"/>
      <c r="D154" s="93"/>
      <c r="E154" s="93"/>
      <c r="F154" s="93"/>
      <c r="G154" s="74" t="s">
        <v>160</v>
      </c>
      <c r="H154" s="93"/>
      <c r="I154" s="187"/>
      <c r="J154" s="187"/>
      <c r="K154" s="188"/>
      <c r="L154" s="93"/>
      <c r="M154" s="92"/>
      <c r="N154" s="93"/>
      <c r="O154" s="93"/>
      <c r="P154" s="93"/>
      <c r="Q154" s="93"/>
      <c r="R154" s="93"/>
      <c r="S154" s="93"/>
      <c r="T154" s="93"/>
      <c r="U154" s="93"/>
      <c r="V154" s="93"/>
      <c r="W154" s="93"/>
      <c r="X154" s="93"/>
    </row>
    <row r="155" spans="1:24" s="56" customFormat="1" ht="7.5" customHeight="1">
      <c r="A155" s="93"/>
      <c r="B155" s="93"/>
      <c r="C155" s="93"/>
      <c r="D155" s="93"/>
      <c r="E155" s="93"/>
      <c r="F155" s="93"/>
      <c r="G155" s="93"/>
      <c r="H155" s="93"/>
      <c r="I155" s="187"/>
      <c r="J155" s="187"/>
      <c r="K155" s="188"/>
      <c r="L155" s="93"/>
      <c r="M155" s="92"/>
      <c r="N155" s="93"/>
      <c r="O155" s="93"/>
      <c r="P155" s="93"/>
      <c r="Q155" s="93"/>
      <c r="R155" s="93"/>
      <c r="S155" s="93"/>
      <c r="T155" s="93"/>
      <c r="U155" s="93"/>
      <c r="V155" s="93"/>
      <c r="W155" s="93"/>
      <c r="X155" s="93"/>
    </row>
    <row r="156" spans="1:24" s="56" customFormat="1" ht="15.75">
      <c r="A156" s="93"/>
      <c r="B156" s="93"/>
      <c r="C156" s="93"/>
      <c r="D156" s="93"/>
      <c r="E156" s="429" t="s">
        <v>157</v>
      </c>
      <c r="F156" s="429"/>
      <c r="G156" s="430"/>
      <c r="H156" s="92"/>
      <c r="I156" s="189">
        <f>VLOOKUP($I$21 &amp; $I$12, 'DATABASE_SPACE '!A:DC, COLUMN(Q1), FALSE)</f>
        <v>0.73484602917341979</v>
      </c>
      <c r="J156" s="190"/>
      <c r="K156" s="191">
        <f>VLOOKUP($K$21 &amp; $I$12, 'DATABASE_SPACE '!A:DC, COLUMN(Q7), FALSE)</f>
        <v>0.98387096799999996</v>
      </c>
      <c r="L156" s="92"/>
      <c r="M156" s="92"/>
      <c r="N156" s="93"/>
      <c r="O156" s="437" t="s">
        <v>59</v>
      </c>
      <c r="P156" s="438"/>
      <c r="Q156" s="439"/>
      <c r="R156" s="93"/>
      <c r="S156" s="350"/>
      <c r="T156" s="93"/>
      <c r="U156" s="93"/>
      <c r="V156" s="93"/>
      <c r="W156" s="93"/>
      <c r="X156" s="93"/>
    </row>
    <row r="157" spans="1:24" s="56" customFormat="1" ht="15.75">
      <c r="A157" s="93"/>
      <c r="B157" s="93"/>
      <c r="C157" s="93"/>
      <c r="D157" s="93"/>
      <c r="E157" s="429" t="s">
        <v>159</v>
      </c>
      <c r="F157" s="429"/>
      <c r="G157" s="430"/>
      <c r="H157" s="92"/>
      <c r="I157" s="192">
        <f>VLOOKUP($I$21 &amp; $I$12, 'DATABASE_SPACE '!A:DC, COLUMN(R7), FALSE)</f>
        <v>0.96167747421469196</v>
      </c>
      <c r="J157" s="187"/>
      <c r="K157" s="193">
        <f>VLOOKUP($K$21 &amp; $I$12, 'DATABASE_SPACE '!A:DC, COLUMN(R7), FALSE)</f>
        <v>0.97588443000000002</v>
      </c>
      <c r="L157" s="92"/>
      <c r="M157" s="92"/>
      <c r="N157" s="93"/>
      <c r="O157" s="440"/>
      <c r="P157" s="441"/>
      <c r="Q157" s="442"/>
      <c r="R157" s="93"/>
      <c r="S157" s="351"/>
      <c r="T157" s="93"/>
      <c r="U157" s="93"/>
      <c r="V157" s="93"/>
      <c r="W157" s="93"/>
      <c r="X157" s="93"/>
    </row>
    <row r="158" spans="1:24" s="56" customFormat="1" ht="8.25" customHeight="1">
      <c r="A158" s="93"/>
      <c r="B158" s="93"/>
      <c r="C158" s="93"/>
      <c r="D158" s="93"/>
      <c r="E158" s="92"/>
      <c r="F158" s="92"/>
      <c r="G158" s="92"/>
      <c r="H158" s="92"/>
      <c r="I158" s="187"/>
      <c r="J158" s="187"/>
      <c r="K158" s="188"/>
      <c r="L158" s="92"/>
      <c r="M158" s="92"/>
      <c r="N158" s="93"/>
      <c r="O158" s="93"/>
      <c r="P158" s="93"/>
      <c r="Q158" s="93"/>
      <c r="R158" s="93"/>
      <c r="S158" s="93"/>
      <c r="T158" s="93"/>
      <c r="U158" s="93"/>
      <c r="V158" s="93"/>
      <c r="W158" s="93"/>
      <c r="X158" s="93"/>
    </row>
    <row r="159" spans="1:24" s="56" customFormat="1" ht="15" customHeight="1">
      <c r="A159" s="93"/>
      <c r="B159" s="93"/>
      <c r="C159" s="93"/>
      <c r="D159" s="93"/>
      <c r="E159" s="93"/>
      <c r="F159" s="93"/>
      <c r="G159" s="93"/>
      <c r="H159" s="93"/>
      <c r="I159" s="187"/>
      <c r="J159" s="187"/>
      <c r="K159" s="188"/>
      <c r="L159" s="93"/>
      <c r="M159" s="92"/>
      <c r="N159" s="93"/>
      <c r="O159" s="93"/>
      <c r="P159" s="93"/>
      <c r="Q159" s="93"/>
      <c r="R159" s="93"/>
      <c r="S159" s="93"/>
      <c r="T159" s="93"/>
      <c r="U159" s="93"/>
      <c r="V159" s="93"/>
      <c r="W159" s="93"/>
      <c r="X159" s="93"/>
    </row>
    <row r="160" spans="1:24" s="56" customFormat="1" ht="15" customHeight="1">
      <c r="A160" s="93"/>
      <c r="B160" s="93"/>
      <c r="C160" s="93"/>
      <c r="D160" s="93"/>
      <c r="E160" s="93"/>
      <c r="F160" s="93"/>
      <c r="G160" s="74" t="s">
        <v>161</v>
      </c>
      <c r="H160" s="93"/>
      <c r="I160" s="187"/>
      <c r="J160" s="187"/>
      <c r="K160" s="188"/>
      <c r="L160" s="93"/>
      <c r="M160" s="92"/>
      <c r="N160" s="93"/>
      <c r="O160" s="93"/>
      <c r="P160" s="93"/>
      <c r="Q160" s="93"/>
      <c r="R160" s="93"/>
      <c r="S160" s="93"/>
      <c r="T160" s="93"/>
      <c r="U160" s="93"/>
      <c r="V160" s="93"/>
      <c r="W160" s="93"/>
      <c r="X160" s="93"/>
    </row>
    <row r="161" spans="1:24" s="56" customFormat="1" ht="7.5" customHeight="1">
      <c r="A161" s="93"/>
      <c r="B161" s="93"/>
      <c r="C161" s="93"/>
      <c r="D161" s="93"/>
      <c r="E161" s="93"/>
      <c r="F161" s="93"/>
      <c r="G161" s="93"/>
      <c r="H161" s="93"/>
      <c r="I161" s="187"/>
      <c r="J161" s="187"/>
      <c r="K161" s="188"/>
      <c r="L161" s="93"/>
      <c r="M161" s="92"/>
      <c r="N161" s="93"/>
      <c r="O161" s="93"/>
      <c r="P161" s="93"/>
      <c r="Q161" s="93"/>
      <c r="R161" s="93"/>
      <c r="S161" s="93"/>
      <c r="T161" s="93"/>
      <c r="U161" s="93"/>
      <c r="V161" s="93"/>
      <c r="W161" s="93"/>
      <c r="X161" s="93"/>
    </row>
    <row r="162" spans="1:24" s="56" customFormat="1" ht="15.75">
      <c r="A162" s="93"/>
      <c r="B162" s="93"/>
      <c r="C162" s="93"/>
      <c r="D162" s="93"/>
      <c r="E162" s="429" t="s">
        <v>157</v>
      </c>
      <c r="F162" s="429"/>
      <c r="G162" s="430"/>
      <c r="H162" s="92"/>
      <c r="I162" s="189">
        <f>VLOOKUP($I$21 &amp; $I$12, 'DATABASE_SPACE '!A:DC, COLUMN(AI13), FALSE)</f>
        <v>0.92298217179902753</v>
      </c>
      <c r="J162" s="190"/>
      <c r="K162" s="191">
        <f>VLOOKUP($K$21 &amp; $I$12, 'DATABASE_SPACE '!A:DC, COLUMN(AI13), FALSE)</f>
        <v>0.99596774200000004</v>
      </c>
      <c r="L162" s="92"/>
      <c r="M162" s="92"/>
      <c r="N162" s="93"/>
      <c r="O162" s="431" t="s">
        <v>162</v>
      </c>
      <c r="P162" s="432"/>
      <c r="Q162" s="433"/>
      <c r="R162" s="93"/>
      <c r="S162" s="350"/>
      <c r="T162" s="93"/>
      <c r="U162" s="93"/>
      <c r="V162" s="93"/>
      <c r="W162" s="93"/>
      <c r="X162" s="93"/>
    </row>
    <row r="163" spans="1:24" s="56" customFormat="1" ht="15.75">
      <c r="A163" s="93"/>
      <c r="B163" s="93"/>
      <c r="C163" s="93"/>
      <c r="D163" s="93"/>
      <c r="E163" s="429" t="s">
        <v>159</v>
      </c>
      <c r="F163" s="429"/>
      <c r="G163" s="430"/>
      <c r="H163" s="92"/>
      <c r="I163" s="192">
        <f>VLOOKUP($I$21 &amp; $I$12, 'DATABASE_SPACE '!A:DC, COLUMN(AJ13), FALSE)</f>
        <v>0.98974237932414499</v>
      </c>
      <c r="J163" s="187"/>
      <c r="K163" s="193">
        <f>VLOOKUP($K$21 &amp; $I$12, 'DATABASE_SPACE '!A:DC, COLUMN(AJ13), FALSE)</f>
        <v>0.98799435999999996</v>
      </c>
      <c r="L163" s="92"/>
      <c r="M163" s="92"/>
      <c r="N163" s="93"/>
      <c r="O163" s="434"/>
      <c r="P163" s="435"/>
      <c r="Q163" s="436"/>
      <c r="R163" s="93"/>
      <c r="S163" s="351"/>
      <c r="T163" s="93"/>
      <c r="U163" s="93"/>
      <c r="V163" s="93"/>
      <c r="W163" s="93"/>
      <c r="X163" s="93"/>
    </row>
    <row r="164" spans="1:24" s="56" customFormat="1" ht="8.25" customHeight="1">
      <c r="A164" s="93"/>
      <c r="B164" s="93"/>
      <c r="C164" s="93"/>
      <c r="D164" s="93"/>
      <c r="E164" s="93"/>
      <c r="F164" s="93"/>
      <c r="G164" s="93"/>
      <c r="H164" s="93"/>
      <c r="I164" s="187"/>
      <c r="J164" s="187"/>
      <c r="K164" s="188"/>
      <c r="L164" s="93"/>
      <c r="M164" s="92"/>
      <c r="N164" s="93"/>
      <c r="O164" s="93"/>
      <c r="P164" s="93"/>
      <c r="Q164" s="93"/>
      <c r="R164" s="93"/>
      <c r="S164" s="93"/>
      <c r="T164" s="93"/>
      <c r="U164" s="93"/>
      <c r="V164" s="93"/>
      <c r="W164" s="93"/>
      <c r="X164" s="93"/>
    </row>
    <row r="165" spans="1:24" s="56" customFormat="1" ht="15.75">
      <c r="A165" s="93"/>
      <c r="B165" s="93"/>
      <c r="C165" s="93"/>
      <c r="D165" s="93"/>
      <c r="E165" s="93"/>
      <c r="F165" s="93"/>
      <c r="G165" s="93"/>
      <c r="H165" s="93"/>
      <c r="I165" s="187"/>
      <c r="J165" s="187"/>
      <c r="K165" s="188"/>
      <c r="L165" s="93"/>
      <c r="M165" s="92"/>
      <c r="N165" s="93"/>
      <c r="O165" s="93"/>
      <c r="P165" s="93"/>
      <c r="Q165" s="93"/>
      <c r="R165" s="93"/>
      <c r="S165" s="93"/>
      <c r="T165" s="93"/>
      <c r="U165" s="93"/>
      <c r="V165" s="93"/>
      <c r="W165" s="93"/>
      <c r="X165" s="93"/>
    </row>
    <row r="166" spans="1:24" s="56" customFormat="1" ht="15" customHeight="1">
      <c r="A166" s="93"/>
      <c r="B166" s="93"/>
      <c r="C166" s="93"/>
      <c r="D166" s="93"/>
      <c r="E166" s="93"/>
      <c r="F166" s="93"/>
      <c r="G166" s="74" t="s">
        <v>163</v>
      </c>
      <c r="H166" s="93"/>
      <c r="I166" s="187"/>
      <c r="J166" s="187"/>
      <c r="K166" s="188"/>
      <c r="L166" s="93"/>
      <c r="M166" s="92"/>
      <c r="N166" s="93"/>
      <c r="O166" s="93"/>
      <c r="P166" s="93"/>
      <c r="Q166" s="93"/>
      <c r="R166" s="93"/>
      <c r="S166" s="93"/>
      <c r="T166" s="93"/>
      <c r="U166" s="93"/>
      <c r="V166" s="93"/>
      <c r="W166" s="93"/>
      <c r="X166" s="93"/>
    </row>
    <row r="167" spans="1:24" s="56" customFormat="1" ht="8.25" customHeight="1">
      <c r="A167" s="93"/>
      <c r="B167" s="93"/>
      <c r="C167" s="93"/>
      <c r="D167" s="93"/>
      <c r="E167" s="93"/>
      <c r="F167" s="93"/>
      <c r="G167" s="93"/>
      <c r="H167" s="93"/>
      <c r="I167" s="187"/>
      <c r="J167" s="187"/>
      <c r="K167" s="188"/>
      <c r="L167" s="93"/>
      <c r="M167" s="92"/>
      <c r="N167" s="93"/>
      <c r="O167" s="93"/>
      <c r="P167" s="93"/>
      <c r="Q167" s="93"/>
      <c r="R167" s="93"/>
      <c r="S167" s="93"/>
      <c r="T167" s="93"/>
      <c r="U167" s="93"/>
      <c r="V167" s="93"/>
      <c r="W167" s="93"/>
      <c r="X167" s="93"/>
    </row>
    <row r="168" spans="1:24" s="56" customFormat="1" ht="15" customHeight="1">
      <c r="A168" s="93"/>
      <c r="B168" s="93"/>
      <c r="C168" s="93"/>
      <c r="D168" s="93"/>
      <c r="E168" s="429" t="s">
        <v>157</v>
      </c>
      <c r="F168" s="429"/>
      <c r="G168" s="430"/>
      <c r="H168" s="92"/>
      <c r="I168" s="189">
        <f>I162</f>
        <v>0.92298217179902753</v>
      </c>
      <c r="J168" s="190"/>
      <c r="K168" s="191">
        <f>K162</f>
        <v>0.99596774200000004</v>
      </c>
      <c r="L168" s="92"/>
      <c r="M168" s="92"/>
      <c r="N168" s="93"/>
      <c r="O168" s="431" t="s">
        <v>164</v>
      </c>
      <c r="P168" s="432"/>
      <c r="Q168" s="433"/>
      <c r="R168" s="93"/>
      <c r="S168" s="350"/>
      <c r="T168" s="93"/>
      <c r="U168" s="93"/>
      <c r="V168" s="93"/>
      <c r="W168" s="93"/>
      <c r="X168" s="93"/>
    </row>
    <row r="169" spans="1:24" s="56" customFormat="1" ht="15" customHeight="1">
      <c r="A169" s="93"/>
      <c r="B169" s="93"/>
      <c r="C169" s="93"/>
      <c r="D169" s="93"/>
      <c r="E169" s="429" t="s">
        <v>159</v>
      </c>
      <c r="F169" s="429"/>
      <c r="G169" s="430"/>
      <c r="H169" s="92"/>
      <c r="I169" s="192">
        <f>I163</f>
        <v>0.98974237932414499</v>
      </c>
      <c r="J169" s="187"/>
      <c r="K169" s="193">
        <f>K163</f>
        <v>0.98799435999999996</v>
      </c>
      <c r="L169" s="92"/>
      <c r="M169" s="92"/>
      <c r="N169" s="93"/>
      <c r="O169" s="434"/>
      <c r="P169" s="435"/>
      <c r="Q169" s="436"/>
      <c r="R169" s="93"/>
      <c r="S169" s="351"/>
      <c r="T169" s="93"/>
      <c r="U169" s="93"/>
      <c r="V169" s="93"/>
      <c r="W169" s="93"/>
      <c r="X169" s="93"/>
    </row>
    <row r="170" spans="1:24" s="56" customFormat="1" ht="8.25" customHeight="1">
      <c r="A170" s="93"/>
      <c r="B170" s="93"/>
      <c r="C170" s="93"/>
      <c r="D170" s="93"/>
      <c r="E170" s="93"/>
      <c r="F170" s="93"/>
      <c r="G170" s="93"/>
      <c r="H170" s="93"/>
      <c r="I170" s="187"/>
      <c r="J170" s="187"/>
      <c r="K170" s="188"/>
      <c r="L170" s="93"/>
      <c r="M170" s="92"/>
      <c r="N170" s="93"/>
      <c r="O170" s="93"/>
      <c r="P170" s="93"/>
      <c r="Q170" s="93"/>
      <c r="R170" s="93"/>
      <c r="S170" s="93"/>
      <c r="T170" s="93"/>
      <c r="U170" s="93"/>
      <c r="V170" s="93"/>
      <c r="W170" s="93"/>
      <c r="X170" s="93"/>
    </row>
    <row r="171" spans="1:24" s="56" customFormat="1" ht="15" customHeight="1">
      <c r="A171" s="93"/>
      <c r="B171" s="93"/>
      <c r="C171" s="93"/>
      <c r="D171" s="93"/>
      <c r="E171" s="93"/>
      <c r="F171" s="93"/>
      <c r="G171" s="93"/>
      <c r="H171" s="93"/>
      <c r="I171" s="187"/>
      <c r="J171" s="187"/>
      <c r="K171" s="188"/>
      <c r="L171" s="93"/>
      <c r="M171" s="92"/>
      <c r="N171" s="93"/>
      <c r="O171" s="93"/>
      <c r="P171" s="93"/>
      <c r="Q171" s="93"/>
      <c r="R171" s="93"/>
      <c r="S171" s="93"/>
      <c r="T171" s="93"/>
      <c r="U171" s="93"/>
      <c r="V171" s="93"/>
      <c r="W171" s="93"/>
      <c r="X171" s="93"/>
    </row>
    <row r="172" spans="1:24" s="56" customFormat="1" ht="15" customHeight="1">
      <c r="A172" s="93"/>
      <c r="B172" s="93"/>
      <c r="C172" s="93"/>
      <c r="D172" s="93"/>
      <c r="E172" s="93"/>
      <c r="F172" s="93"/>
      <c r="G172" s="87" t="s">
        <v>165</v>
      </c>
      <c r="H172" s="93"/>
      <c r="I172" s="187"/>
      <c r="J172" s="187"/>
      <c r="K172" s="188"/>
      <c r="L172" s="93"/>
      <c r="M172" s="92"/>
      <c r="N172" s="93"/>
      <c r="O172" s="93"/>
      <c r="P172" s="93"/>
      <c r="Q172" s="93"/>
      <c r="R172" s="93"/>
      <c r="S172" s="93"/>
      <c r="T172" s="93"/>
      <c r="U172" s="93"/>
      <c r="V172" s="93"/>
      <c r="W172" s="93"/>
      <c r="X172" s="93"/>
    </row>
    <row r="173" spans="1:24" s="56" customFormat="1" ht="8.25" customHeight="1">
      <c r="A173" s="93"/>
      <c r="B173" s="93"/>
      <c r="C173" s="93"/>
      <c r="D173" s="93"/>
      <c r="E173" s="93"/>
      <c r="F173" s="93"/>
      <c r="G173" s="93"/>
      <c r="H173" s="93"/>
      <c r="I173" s="187"/>
      <c r="J173" s="187"/>
      <c r="K173" s="188"/>
      <c r="L173" s="93"/>
      <c r="M173" s="92"/>
      <c r="N173" s="93"/>
      <c r="O173" s="93"/>
      <c r="P173" s="93"/>
      <c r="Q173" s="93"/>
      <c r="R173" s="93"/>
      <c r="S173" s="93"/>
      <c r="T173" s="93"/>
      <c r="U173" s="93"/>
      <c r="V173" s="93"/>
      <c r="W173" s="93"/>
      <c r="X173" s="93"/>
    </row>
    <row r="174" spans="1:24" s="56" customFormat="1" ht="15" customHeight="1">
      <c r="A174" s="93"/>
      <c r="B174" s="93"/>
      <c r="C174" s="93"/>
      <c r="D174" s="93"/>
      <c r="E174" s="429" t="s">
        <v>157</v>
      </c>
      <c r="F174" s="429"/>
      <c r="G174" s="430"/>
      <c r="H174" s="92"/>
      <c r="I174" s="189">
        <f>I150</f>
        <v>0.67896272285251213</v>
      </c>
      <c r="J174" s="190"/>
      <c r="K174" s="191">
        <f>K150</f>
        <v>0.99596774200000004</v>
      </c>
      <c r="L174" s="92"/>
      <c r="M174" s="92"/>
      <c r="N174" s="93"/>
      <c r="O174" s="431" t="s">
        <v>166</v>
      </c>
      <c r="P174" s="432"/>
      <c r="Q174" s="433"/>
      <c r="R174" s="93"/>
      <c r="S174" s="350"/>
      <c r="T174" s="93"/>
      <c r="U174" s="93"/>
      <c r="V174" s="93"/>
      <c r="W174" s="93"/>
      <c r="X174" s="93"/>
    </row>
    <row r="175" spans="1:24" s="56" customFormat="1" ht="34.5" customHeight="1">
      <c r="A175" s="93"/>
      <c r="B175" s="93"/>
      <c r="C175" s="93"/>
      <c r="D175" s="93"/>
      <c r="E175" s="429" t="s">
        <v>159</v>
      </c>
      <c r="F175" s="429"/>
      <c r="G175" s="430"/>
      <c r="H175" s="92"/>
      <c r="I175" s="192">
        <f>I151</f>
        <v>0.978775914231238</v>
      </c>
      <c r="J175" s="187"/>
      <c r="K175" s="193">
        <f>K151</f>
        <v>0.98799435999999996</v>
      </c>
      <c r="L175" s="92"/>
      <c r="M175" s="92"/>
      <c r="N175" s="93"/>
      <c r="O175" s="434"/>
      <c r="P175" s="435"/>
      <c r="Q175" s="436"/>
      <c r="R175" s="93"/>
      <c r="S175" s="351"/>
      <c r="T175" s="93"/>
      <c r="U175" s="93"/>
      <c r="V175" s="93"/>
      <c r="W175" s="93"/>
      <c r="X175" s="93"/>
    </row>
    <row r="176" spans="1:24" s="56" customFormat="1" ht="8.25" customHeight="1">
      <c r="A176" s="93"/>
      <c r="B176" s="93"/>
      <c r="C176" s="93"/>
      <c r="D176" s="93"/>
      <c r="E176" s="93"/>
      <c r="F176" s="93"/>
      <c r="G176" s="93"/>
      <c r="H176" s="93"/>
      <c r="I176" s="187"/>
      <c r="J176" s="187"/>
      <c r="K176" s="188"/>
      <c r="L176" s="93"/>
      <c r="M176" s="92"/>
      <c r="N176" s="93"/>
      <c r="O176" s="93"/>
      <c r="P176" s="93"/>
      <c r="Q176" s="93"/>
      <c r="R176" s="93"/>
      <c r="S176" s="93"/>
      <c r="T176" s="93"/>
      <c r="U176" s="93"/>
      <c r="V176" s="93"/>
      <c r="W176" s="93"/>
      <c r="X176" s="93"/>
    </row>
    <row r="177" spans="1:41" s="56" customFormat="1" ht="15" customHeight="1">
      <c r="A177" s="93"/>
      <c r="B177" s="93"/>
      <c r="C177" s="93"/>
      <c r="D177" s="93"/>
      <c r="E177" s="93"/>
      <c r="F177" s="93"/>
      <c r="G177" s="93"/>
      <c r="H177" s="93"/>
      <c r="I177" s="187"/>
      <c r="J177" s="187"/>
      <c r="K177" s="188"/>
      <c r="L177" s="93"/>
      <c r="M177" s="92"/>
      <c r="N177" s="93"/>
      <c r="O177" s="93"/>
      <c r="P177" s="93"/>
      <c r="Q177" s="93"/>
      <c r="R177" s="93"/>
      <c r="S177" s="93"/>
      <c r="T177" s="93"/>
      <c r="U177" s="93"/>
      <c r="V177" s="93"/>
      <c r="W177" s="93"/>
      <c r="X177" s="93"/>
      <c r="Y177" s="132"/>
      <c r="Z177" s="132"/>
      <c r="AA177" s="132"/>
      <c r="AB177" s="132"/>
      <c r="AC177" s="132"/>
      <c r="AD177" s="132"/>
      <c r="AE177" s="132"/>
      <c r="AF177" s="132"/>
      <c r="AG177" s="132"/>
      <c r="AH177" s="132"/>
      <c r="AI177" s="132"/>
      <c r="AJ177" s="132"/>
      <c r="AK177" s="132"/>
      <c r="AL177" s="132"/>
      <c r="AM177" s="132"/>
      <c r="AN177" s="132"/>
      <c r="AO177" s="132"/>
    </row>
    <row r="178" spans="1:41" s="56" customFormat="1" ht="15" customHeight="1">
      <c r="A178" s="93"/>
      <c r="B178" s="93"/>
      <c r="C178" s="93"/>
      <c r="D178" s="93"/>
      <c r="E178" s="93"/>
      <c r="F178" s="93"/>
      <c r="G178" s="74" t="s">
        <v>167</v>
      </c>
      <c r="H178" s="93"/>
      <c r="I178" s="187"/>
      <c r="J178" s="187"/>
      <c r="K178" s="188"/>
      <c r="L178" s="93"/>
      <c r="M178" s="92"/>
      <c r="N178" s="93"/>
      <c r="O178" s="93"/>
      <c r="P178" s="93"/>
      <c r="Q178" s="93"/>
      <c r="R178" s="93"/>
      <c r="S178" s="93"/>
      <c r="T178" s="93"/>
      <c r="U178" s="93"/>
      <c r="V178" s="93"/>
      <c r="W178" s="93"/>
      <c r="X178" s="93"/>
      <c r="Y178" s="132"/>
      <c r="Z178" s="132"/>
      <c r="AA178" s="132"/>
      <c r="AB178" s="132"/>
      <c r="AC178" s="132"/>
      <c r="AD178" s="132"/>
      <c r="AE178" s="132"/>
      <c r="AF178" s="132"/>
      <c r="AG178" s="132"/>
      <c r="AH178" s="132"/>
      <c r="AI178" s="132"/>
      <c r="AJ178" s="132"/>
      <c r="AK178" s="132"/>
      <c r="AL178" s="132"/>
      <c r="AM178" s="132"/>
      <c r="AN178" s="132"/>
      <c r="AO178" s="132"/>
    </row>
    <row r="179" spans="1:41" s="56" customFormat="1" ht="8.25" customHeight="1">
      <c r="A179" s="93"/>
      <c r="B179" s="93"/>
      <c r="C179" s="93"/>
      <c r="D179" s="93"/>
      <c r="E179" s="93"/>
      <c r="F179" s="93"/>
      <c r="G179" s="93"/>
      <c r="H179" s="93"/>
      <c r="I179" s="187"/>
      <c r="J179" s="187"/>
      <c r="K179" s="188"/>
      <c r="L179" s="93"/>
      <c r="M179" s="92"/>
      <c r="N179" s="93"/>
      <c r="O179" s="93"/>
      <c r="P179" s="93"/>
      <c r="Q179" s="93"/>
      <c r="R179" s="93"/>
      <c r="S179" s="93"/>
      <c r="T179" s="93"/>
      <c r="U179" s="93"/>
      <c r="V179" s="93"/>
      <c r="W179" s="93"/>
      <c r="X179" s="93"/>
      <c r="Y179" s="132"/>
      <c r="Z179" s="132"/>
      <c r="AA179" s="132"/>
      <c r="AB179" s="132"/>
      <c r="AC179" s="132"/>
      <c r="AD179" s="132"/>
      <c r="AE179" s="132"/>
      <c r="AF179" s="132"/>
      <c r="AG179" s="132"/>
      <c r="AH179" s="132"/>
      <c r="AI179" s="132"/>
      <c r="AJ179" s="132"/>
      <c r="AK179" s="132"/>
      <c r="AL179" s="132"/>
      <c r="AM179" s="132"/>
      <c r="AN179" s="132"/>
      <c r="AO179" s="132"/>
    </row>
    <row r="180" spans="1:41" s="56" customFormat="1" ht="15" customHeight="1">
      <c r="A180" s="93"/>
      <c r="B180" s="93"/>
      <c r="C180" s="93"/>
      <c r="D180" s="93"/>
      <c r="E180" s="429" t="s">
        <v>157</v>
      </c>
      <c r="F180" s="429"/>
      <c r="G180" s="430"/>
      <c r="H180" s="92"/>
      <c r="I180" s="194">
        <f>VLOOKUP($I$21 &amp; $I$12, 'DATABASE_SPACE '!A:CG, COLUMN(AR31), FALSE)</f>
        <v>0.87235008103727718</v>
      </c>
      <c r="J180" s="187"/>
      <c r="K180" s="195">
        <f>VLOOKUP($K$21 &amp; $I$12, 'DATABASE_SPACE '!A:CG, COLUMN(AR31), FALSE)</f>
        <v>0.99596774200000004</v>
      </c>
      <c r="L180" s="92"/>
      <c r="M180" s="92"/>
      <c r="N180" s="93"/>
      <c r="O180" s="437" t="s">
        <v>168</v>
      </c>
      <c r="P180" s="438"/>
      <c r="Q180" s="439"/>
      <c r="R180" s="93"/>
      <c r="S180" s="350"/>
      <c r="T180" s="93"/>
      <c r="U180" s="93"/>
      <c r="V180" s="93"/>
      <c r="W180" s="93"/>
      <c r="X180" s="93"/>
      <c r="Y180" s="132"/>
      <c r="Z180" s="132"/>
      <c r="AA180" s="132"/>
      <c r="AB180" s="132"/>
      <c r="AC180" s="132"/>
      <c r="AD180" s="132"/>
      <c r="AE180" s="132"/>
      <c r="AF180" s="132"/>
      <c r="AG180" s="132"/>
      <c r="AH180" s="132"/>
      <c r="AI180" s="132"/>
      <c r="AJ180" s="132"/>
      <c r="AK180" s="132"/>
      <c r="AL180" s="132"/>
      <c r="AM180" s="132"/>
      <c r="AN180" s="132"/>
      <c r="AO180" s="132"/>
    </row>
    <row r="181" spans="1:41" s="56" customFormat="1" ht="15" customHeight="1">
      <c r="A181" s="93"/>
      <c r="B181" s="93"/>
      <c r="C181" s="93"/>
      <c r="D181" s="93"/>
      <c r="E181" s="429" t="s">
        <v>159</v>
      </c>
      <c r="F181" s="429"/>
      <c r="G181" s="430"/>
      <c r="H181" s="92"/>
      <c r="I181" s="192">
        <f>VLOOKUP($I$21 &amp; $I$12, 'DATABASE_SPACE '!A:CG, COLUMN(AS31), FALSE)</f>
        <v>0.99656876871119204</v>
      </c>
      <c r="J181" s="187"/>
      <c r="K181" s="193">
        <f>VLOOKUP($K$21 &amp; $I$12, 'DATABASE_SPACE '!A:CG, COLUMN(AS31), FALSE)</f>
        <v>0.98799435999999996</v>
      </c>
      <c r="L181" s="92"/>
      <c r="M181" s="92"/>
      <c r="N181" s="93"/>
      <c r="O181" s="440"/>
      <c r="P181" s="441"/>
      <c r="Q181" s="442"/>
      <c r="R181" s="93"/>
      <c r="S181" s="351"/>
      <c r="T181" s="93"/>
      <c r="U181" s="93"/>
      <c r="V181" s="93"/>
      <c r="W181" s="93"/>
      <c r="X181" s="93"/>
      <c r="Y181" s="132"/>
      <c r="Z181" s="132"/>
      <c r="AA181" s="132"/>
      <c r="AB181" s="132"/>
      <c r="AC181" s="132"/>
      <c r="AD181" s="132"/>
      <c r="AE181" s="132"/>
      <c r="AF181" s="132"/>
      <c r="AG181" s="132"/>
      <c r="AH181" s="132"/>
      <c r="AI181" s="132"/>
      <c r="AJ181" s="132"/>
      <c r="AK181" s="132"/>
      <c r="AL181" s="132"/>
      <c r="AM181" s="132"/>
      <c r="AN181" s="132"/>
      <c r="AO181" s="132"/>
    </row>
    <row r="182" spans="1:41" s="56" customFormat="1" ht="8.25" customHeight="1">
      <c r="A182" s="93"/>
      <c r="B182" s="93"/>
      <c r="C182" s="93"/>
      <c r="D182" s="93"/>
      <c r="E182" s="93"/>
      <c r="F182" s="93"/>
      <c r="G182" s="93"/>
      <c r="H182" s="93"/>
      <c r="I182" s="93"/>
      <c r="J182" s="93"/>
      <c r="K182" s="93"/>
      <c r="L182" s="93"/>
      <c r="M182" s="92"/>
      <c r="N182" s="93"/>
      <c r="O182" s="93"/>
      <c r="P182" s="93"/>
      <c r="Q182" s="93"/>
      <c r="R182" s="93"/>
      <c r="S182" s="93"/>
      <c r="T182" s="93"/>
      <c r="U182" s="93"/>
      <c r="V182" s="93"/>
      <c r="W182" s="93"/>
      <c r="X182" s="93"/>
      <c r="Y182" s="132"/>
      <c r="Z182" s="132"/>
      <c r="AA182" s="132"/>
      <c r="AB182" s="132"/>
      <c r="AC182" s="132"/>
      <c r="AD182" s="132"/>
      <c r="AE182" s="132"/>
      <c r="AF182" s="132"/>
      <c r="AG182" s="132"/>
      <c r="AH182" s="132"/>
      <c r="AI182" s="132"/>
      <c r="AJ182" s="132"/>
      <c r="AK182" s="132"/>
      <c r="AL182" s="132"/>
      <c r="AM182" s="132"/>
      <c r="AN182" s="132"/>
      <c r="AO182" s="132"/>
    </row>
    <row r="183" spans="1:41" s="56" customFormat="1" ht="15" customHeight="1">
      <c r="A183" s="93"/>
      <c r="B183" s="92"/>
      <c r="C183" s="92"/>
      <c r="D183" s="92"/>
      <c r="E183" s="92"/>
      <c r="F183" s="92"/>
      <c r="G183" s="92"/>
      <c r="H183" s="92"/>
      <c r="I183" s="92"/>
      <c r="J183" s="92"/>
      <c r="K183" s="92"/>
      <c r="L183" s="92"/>
      <c r="M183" s="92"/>
      <c r="N183" s="92"/>
      <c r="O183" s="92"/>
      <c r="P183" s="92"/>
      <c r="Q183" s="92"/>
      <c r="R183" s="92"/>
      <c r="S183" s="92"/>
      <c r="T183" s="92"/>
      <c r="U183" s="92"/>
      <c r="V183" s="92"/>
      <c r="W183" s="92"/>
      <c r="X183" s="93"/>
      <c r="Y183" s="132"/>
      <c r="Z183" s="132"/>
      <c r="AA183" s="132"/>
      <c r="AB183" s="132"/>
      <c r="AC183" s="132"/>
      <c r="AD183" s="132"/>
      <c r="AE183" s="132"/>
      <c r="AF183" s="132"/>
      <c r="AG183" s="132"/>
      <c r="AH183" s="132"/>
      <c r="AI183" s="132"/>
      <c r="AJ183" s="132"/>
      <c r="AK183" s="132"/>
      <c r="AL183" s="132"/>
      <c r="AM183" s="132"/>
      <c r="AN183" s="132"/>
      <c r="AO183" s="132"/>
    </row>
    <row r="184" spans="1:41">
      <c r="A184" s="92"/>
      <c r="B184" s="1"/>
      <c r="C184" s="1"/>
      <c r="D184" s="1"/>
      <c r="E184" s="1"/>
      <c r="F184" s="1"/>
      <c r="G184" s="1"/>
      <c r="H184" s="1"/>
      <c r="I184" s="1"/>
      <c r="J184" s="1"/>
      <c r="K184" s="1"/>
      <c r="L184" s="1"/>
      <c r="M184" s="1"/>
      <c r="N184" s="1"/>
      <c r="O184" s="1"/>
      <c r="P184" s="1"/>
      <c r="Q184" s="1"/>
      <c r="R184" s="1"/>
      <c r="S184" s="1"/>
      <c r="T184" s="1"/>
      <c r="U184" s="1"/>
      <c r="V184" s="1"/>
      <c r="W184" s="1"/>
      <c r="X184" s="92"/>
      <c r="Y184" s="116"/>
      <c r="Z184" s="116"/>
      <c r="AA184" s="116"/>
      <c r="AB184" s="116"/>
      <c r="AC184" s="116"/>
      <c r="AD184" s="116"/>
      <c r="AE184" s="116"/>
      <c r="AF184" s="116"/>
      <c r="AG184" s="116"/>
      <c r="AH184" s="116"/>
      <c r="AI184" s="116"/>
      <c r="AJ184" s="116"/>
      <c r="AK184" s="116"/>
      <c r="AL184" s="116"/>
      <c r="AM184" s="116"/>
      <c r="AN184" s="116"/>
      <c r="AO184" s="116"/>
    </row>
    <row r="185" spans="1:41">
      <c r="A185" s="92"/>
      <c r="B185" s="1"/>
      <c r="C185" s="1"/>
      <c r="D185" s="1"/>
      <c r="E185" s="1"/>
      <c r="F185" s="1"/>
      <c r="G185" s="1"/>
      <c r="H185" s="1"/>
      <c r="I185" s="1"/>
      <c r="J185" s="1"/>
      <c r="K185" s="1"/>
      <c r="L185" s="1"/>
      <c r="M185" s="1"/>
      <c r="N185" s="1"/>
      <c r="O185" s="1"/>
      <c r="P185" s="1"/>
      <c r="Q185" s="1"/>
      <c r="R185" s="1"/>
      <c r="S185" s="1"/>
      <c r="T185" s="1"/>
      <c r="U185" s="1"/>
      <c r="V185" s="1"/>
      <c r="W185" s="1"/>
      <c r="X185" s="92"/>
      <c r="Y185" s="116"/>
      <c r="Z185" s="116"/>
      <c r="AA185" s="116"/>
      <c r="AB185" s="116"/>
      <c r="AC185" s="116"/>
      <c r="AD185" s="116"/>
      <c r="AE185" s="116"/>
      <c r="AF185" s="116"/>
      <c r="AG185" s="116"/>
      <c r="AH185" s="116"/>
      <c r="AI185" s="116"/>
      <c r="AJ185" s="116"/>
      <c r="AK185" s="116"/>
      <c r="AL185" s="116"/>
      <c r="AM185" s="116"/>
      <c r="AN185" s="116"/>
      <c r="AO185" s="116"/>
    </row>
    <row r="186" spans="1:41">
      <c r="A186" s="92"/>
      <c r="B186" s="1"/>
      <c r="C186" s="1"/>
      <c r="D186" s="1"/>
      <c r="E186" s="1"/>
      <c r="F186" s="1"/>
      <c r="G186" s="1"/>
      <c r="H186" s="1"/>
      <c r="I186" s="1"/>
      <c r="J186" s="1"/>
      <c r="K186" s="1"/>
      <c r="L186" s="1"/>
      <c r="M186" s="1"/>
      <c r="N186" s="1"/>
      <c r="O186" s="1"/>
      <c r="P186" s="1"/>
      <c r="Q186" s="1"/>
      <c r="R186" s="1"/>
      <c r="S186" s="1"/>
      <c r="T186" s="1"/>
      <c r="U186" s="1"/>
      <c r="V186" s="1"/>
      <c r="W186" s="1"/>
      <c r="X186" s="92"/>
      <c r="Y186" s="116"/>
      <c r="Z186" s="116"/>
      <c r="AA186" s="116"/>
      <c r="AB186" s="116"/>
      <c r="AC186" s="116"/>
      <c r="AD186" s="116"/>
      <c r="AE186" s="116"/>
      <c r="AF186" s="116"/>
      <c r="AG186" s="116"/>
      <c r="AH186" s="116"/>
      <c r="AI186" s="116"/>
      <c r="AJ186" s="116"/>
      <c r="AK186" s="116"/>
      <c r="AL186" s="116"/>
      <c r="AM186" s="116"/>
      <c r="AN186" s="116"/>
      <c r="AO186" s="116"/>
    </row>
    <row r="187" spans="1:41">
      <c r="A187" s="92"/>
      <c r="B187" s="1"/>
      <c r="C187" s="1"/>
      <c r="D187" s="1"/>
      <c r="E187" s="1"/>
      <c r="F187" s="1"/>
      <c r="G187" s="1"/>
      <c r="H187" s="1"/>
      <c r="I187" s="1"/>
      <c r="J187" s="1"/>
      <c r="K187" s="1"/>
      <c r="L187" s="1"/>
      <c r="M187" s="1"/>
      <c r="N187" s="1"/>
      <c r="O187" s="1"/>
      <c r="P187" s="1"/>
      <c r="Q187" s="1"/>
      <c r="R187" s="1"/>
      <c r="S187" s="1"/>
      <c r="T187" s="1"/>
      <c r="U187" s="1"/>
      <c r="V187" s="1"/>
      <c r="W187" s="1"/>
      <c r="X187" s="92"/>
      <c r="Y187" s="116"/>
      <c r="Z187" s="116"/>
      <c r="AA187" s="116"/>
      <c r="AB187" s="116"/>
      <c r="AC187" s="116"/>
      <c r="AD187" s="116"/>
      <c r="AE187" s="116"/>
      <c r="AF187" s="116"/>
      <c r="AG187" s="116"/>
      <c r="AH187" s="116"/>
      <c r="AI187" s="116"/>
      <c r="AJ187" s="116"/>
      <c r="AK187" s="116"/>
      <c r="AL187" s="116"/>
      <c r="AM187" s="116"/>
      <c r="AN187" s="116"/>
      <c r="AO187" s="116"/>
    </row>
    <row r="188" spans="1:41" s="141" customFormat="1" ht="16.350000000000001" customHeight="1">
      <c r="A188" s="92"/>
      <c r="B188" s="425" t="s">
        <v>169</v>
      </c>
      <c r="C188" s="426"/>
      <c r="D188" s="426"/>
      <c r="E188" s="426"/>
      <c r="F188" s="426"/>
      <c r="G188" s="426"/>
      <c r="H188" s="426"/>
      <c r="I188" s="426"/>
      <c r="J188" s="426"/>
      <c r="K188" s="426"/>
      <c r="L188" s="426"/>
      <c r="M188" s="426"/>
      <c r="N188" s="426"/>
      <c r="O188" s="426"/>
      <c r="P188" s="426"/>
      <c r="Q188" s="426"/>
      <c r="R188" s="426"/>
      <c r="S188" s="64"/>
      <c r="T188" s="64"/>
      <c r="U188" s="64"/>
      <c r="V188" s="92"/>
      <c r="W188" s="92"/>
      <c r="X188" s="92"/>
      <c r="Y188" s="92"/>
      <c r="Z188" s="92"/>
      <c r="AA188" s="92"/>
      <c r="AB188" s="92"/>
      <c r="AC188" s="92"/>
      <c r="AD188" s="92"/>
      <c r="AE188" s="92"/>
      <c r="AF188" s="92"/>
      <c r="AG188" s="92"/>
      <c r="AH188" s="92"/>
      <c r="AI188" s="92"/>
      <c r="AJ188" s="92"/>
      <c r="AK188" s="92"/>
      <c r="AL188" s="92"/>
      <c r="AM188" s="92"/>
      <c r="AN188" s="92"/>
      <c r="AO188" s="92"/>
    </row>
    <row r="189" spans="1:41" s="141" customFormat="1" ht="16.350000000000001" customHeight="1">
      <c r="A189" s="92"/>
      <c r="B189" s="142" t="s">
        <v>170</v>
      </c>
      <c r="C189" s="143"/>
      <c r="D189" s="143"/>
      <c r="E189" s="143"/>
      <c r="F189" s="143"/>
      <c r="G189" s="143"/>
      <c r="H189" s="64"/>
      <c r="I189" s="143"/>
      <c r="J189" s="143"/>
      <c r="K189" s="143"/>
      <c r="L189" s="143"/>
      <c r="M189" s="143"/>
      <c r="N189" s="143"/>
      <c r="O189" s="143"/>
      <c r="P189" s="143"/>
      <c r="Q189" s="143"/>
      <c r="R189" s="143"/>
      <c r="S189" s="64"/>
      <c r="T189" s="64"/>
      <c r="U189" s="64"/>
      <c r="V189" s="92"/>
      <c r="W189" s="92"/>
      <c r="X189" s="92"/>
      <c r="Y189" s="92"/>
      <c r="Z189" s="92"/>
      <c r="AA189" s="92"/>
      <c r="AB189" s="92"/>
      <c r="AC189" s="92"/>
      <c r="AD189" s="92"/>
      <c r="AE189" s="92"/>
      <c r="AF189" s="92"/>
      <c r="AG189" s="92"/>
      <c r="AH189" s="92"/>
      <c r="AI189" s="92"/>
      <c r="AJ189" s="92"/>
      <c r="AK189" s="92"/>
      <c r="AL189" s="92"/>
      <c r="AM189" s="92"/>
      <c r="AN189" s="92"/>
      <c r="AO189" s="92"/>
    </row>
    <row r="190" spans="1:41" s="141" customFormat="1" ht="16.350000000000001" customHeight="1">
      <c r="A190" s="92"/>
      <c r="B190" s="142" t="s">
        <v>171</v>
      </c>
      <c r="C190" s="143"/>
      <c r="D190" s="144"/>
      <c r="E190" s="145" t="s">
        <v>172</v>
      </c>
      <c r="F190" s="143"/>
      <c r="G190" s="143"/>
      <c r="H190" s="145"/>
      <c r="I190" s="143"/>
      <c r="J190" s="143"/>
      <c r="K190" s="143"/>
      <c r="L190" s="143"/>
      <c r="M190" s="143"/>
      <c r="N190" s="143"/>
      <c r="O190" s="143"/>
      <c r="P190" s="143"/>
      <c r="Q190" s="143"/>
      <c r="R190" s="143"/>
      <c r="S190" s="64"/>
      <c r="T190" s="64"/>
      <c r="U190" s="64"/>
      <c r="V190" s="92"/>
      <c r="W190" s="92"/>
      <c r="X190" s="92"/>
      <c r="Y190" s="92"/>
      <c r="Z190" s="92"/>
      <c r="AA190" s="92"/>
      <c r="AB190" s="92"/>
      <c r="AC190" s="92"/>
      <c r="AD190" s="92"/>
      <c r="AE190" s="92"/>
      <c r="AF190" s="92"/>
      <c r="AG190" s="92"/>
      <c r="AH190" s="92"/>
      <c r="AI190" s="92"/>
      <c r="AJ190" s="92"/>
      <c r="AK190" s="92"/>
      <c r="AL190" s="92"/>
      <c r="AM190" s="92"/>
      <c r="AN190" s="92"/>
      <c r="AO190" s="92"/>
    </row>
    <row r="191" spans="1:41" s="141" customFormat="1" ht="16.350000000000001" customHeight="1">
      <c r="A191" s="116"/>
      <c r="B191" s="144" t="s">
        <v>173</v>
      </c>
      <c r="C191" s="144"/>
      <c r="D191" s="144"/>
      <c r="E191" s="144"/>
      <c r="F191" s="144"/>
      <c r="G191" s="144"/>
      <c r="H191" s="144"/>
      <c r="I191" s="144"/>
      <c r="J191" s="144"/>
      <c r="K191" s="144"/>
      <c r="L191" s="144"/>
      <c r="M191" s="116"/>
      <c r="N191" s="144"/>
      <c r="O191" s="144"/>
      <c r="P191" s="144"/>
      <c r="Q191" s="144"/>
      <c r="R191" s="144"/>
      <c r="S191" s="144"/>
      <c r="T191" s="64"/>
      <c r="U191" s="64"/>
      <c r="V191" s="92"/>
      <c r="W191" s="92"/>
      <c r="X191" s="92"/>
      <c r="Y191" s="92"/>
      <c r="Z191" s="92"/>
      <c r="AA191" s="92"/>
      <c r="AB191" s="92"/>
      <c r="AC191" s="92"/>
      <c r="AD191" s="92"/>
      <c r="AE191" s="92"/>
      <c r="AF191" s="92"/>
      <c r="AG191" s="92"/>
      <c r="AH191" s="92"/>
      <c r="AI191" s="92"/>
      <c r="AJ191" s="92"/>
      <c r="AK191" s="92"/>
      <c r="AL191" s="92"/>
      <c r="AM191" s="92"/>
      <c r="AN191" s="92"/>
      <c r="AO191" s="92"/>
    </row>
    <row r="192" spans="1:41">
      <c r="A192" s="92"/>
      <c r="B192" s="144" t="s">
        <v>174</v>
      </c>
      <c r="C192" s="1"/>
      <c r="D192" s="146" t="s">
        <v>175</v>
      </c>
      <c r="E192" s="1"/>
      <c r="F192" s="1"/>
      <c r="G192" s="1"/>
      <c r="H192" s="1"/>
      <c r="I192" s="1"/>
      <c r="J192" s="1"/>
      <c r="K192" s="1"/>
      <c r="L192" s="1"/>
      <c r="M192" s="1"/>
      <c r="N192" s="1"/>
      <c r="O192" s="1"/>
      <c r="P192" s="1"/>
      <c r="Q192" s="1"/>
      <c r="R192" s="1"/>
      <c r="S192" s="1"/>
      <c r="T192" s="1"/>
      <c r="U192" s="1"/>
      <c r="V192" s="1"/>
      <c r="W192" s="1"/>
      <c r="X192" s="92"/>
      <c r="Y192" s="116"/>
      <c r="Z192" s="116"/>
      <c r="AA192" s="116"/>
      <c r="AB192" s="116"/>
      <c r="AC192" s="116"/>
      <c r="AD192" s="116"/>
      <c r="AE192" s="116"/>
      <c r="AF192" s="116"/>
      <c r="AG192" s="116"/>
      <c r="AH192" s="116"/>
      <c r="AI192" s="116"/>
      <c r="AJ192" s="116"/>
      <c r="AK192" s="116"/>
      <c r="AL192" s="116"/>
      <c r="AM192" s="116"/>
      <c r="AN192" s="116"/>
      <c r="AO192" s="116"/>
    </row>
    <row r="199" spans="1:41">
      <c r="A199" s="116"/>
      <c r="B199" s="116"/>
      <c r="C199" s="116"/>
      <c r="D199" s="116"/>
      <c r="E199" s="116"/>
      <c r="F199" s="116"/>
      <c r="G199" s="116"/>
      <c r="H199" s="116"/>
      <c r="I199" s="116"/>
      <c r="J199" s="116"/>
      <c r="K199" s="116"/>
      <c r="L199" s="116"/>
      <c r="M199" s="116"/>
      <c r="N199" s="116"/>
      <c r="O199" s="116"/>
      <c r="P199" s="116"/>
      <c r="Q199" s="116"/>
      <c r="R199" s="116"/>
      <c r="S199" s="116"/>
      <c r="T199" s="116"/>
      <c r="U199" s="116"/>
      <c r="V199" s="116"/>
      <c r="W199" s="116"/>
      <c r="X199" s="116"/>
      <c r="Y199" s="116"/>
      <c r="Z199" s="116"/>
      <c r="AA199" s="116"/>
      <c r="AB199" s="116"/>
      <c r="AC199" s="116"/>
      <c r="AD199" s="116"/>
      <c r="AE199" s="116"/>
      <c r="AF199" s="116"/>
      <c r="AG199" s="116"/>
      <c r="AH199" s="116"/>
      <c r="AI199" s="116"/>
      <c r="AJ199" s="116"/>
      <c r="AK199" s="116"/>
      <c r="AL199" s="116"/>
      <c r="AM199" s="116"/>
      <c r="AN199" s="116"/>
      <c r="AO199" s="116"/>
    </row>
  </sheetData>
  <sheetProtection algorithmName="SHA-512" hashValue="Xr2SE9Wl47XCV/Rno2uv2aXOrCd9g75M2fR4Bfq2qu3ThD6bj46vRAlwbs9sI/SOVz7LCM8i9G/0kZZotRD7iw==" saltValue="iA8EJt5+8mvFJDuZmcd/pQ==" spinCount="100000" sheet="1" objects="1" scenarios="1"/>
  <mergeCells count="161">
    <mergeCell ref="U104:W104"/>
    <mergeCell ref="E174:G174"/>
    <mergeCell ref="O174:Q175"/>
    <mergeCell ref="E175:G175"/>
    <mergeCell ref="E180:G180"/>
    <mergeCell ref="O180:Q181"/>
    <mergeCell ref="E181:G181"/>
    <mergeCell ref="E129:G129"/>
    <mergeCell ref="U129:W129"/>
    <mergeCell ref="U131:W131"/>
    <mergeCell ref="U132:W132"/>
    <mergeCell ref="U133:W133"/>
    <mergeCell ref="U135:W135"/>
    <mergeCell ref="U136:W136"/>
    <mergeCell ref="U137:W137"/>
    <mergeCell ref="E131:G131"/>
    <mergeCell ref="E132:G132"/>
    <mergeCell ref="E133:G133"/>
    <mergeCell ref="E135:G135"/>
    <mergeCell ref="E136:G136"/>
    <mergeCell ref="E137:G137"/>
    <mergeCell ref="S180:S181"/>
    <mergeCell ref="S174:S175"/>
    <mergeCell ref="S168:S169"/>
    <mergeCell ref="E81:G84"/>
    <mergeCell ref="F66:G66"/>
    <mergeCell ref="B71:D71"/>
    <mergeCell ref="E71:G71"/>
    <mergeCell ref="E87:G87"/>
    <mergeCell ref="E88:G88"/>
    <mergeCell ref="E90:G90"/>
    <mergeCell ref="E91:G91"/>
    <mergeCell ref="E92:G92"/>
    <mergeCell ref="E75:G76"/>
    <mergeCell ref="E86:G86"/>
    <mergeCell ref="B188:R188"/>
    <mergeCell ref="E99:G99"/>
    <mergeCell ref="E100:G100"/>
    <mergeCell ref="E104:G104"/>
    <mergeCell ref="E105:G105"/>
    <mergeCell ref="B118:G118"/>
    <mergeCell ref="E162:G162"/>
    <mergeCell ref="O162:Q163"/>
    <mergeCell ref="E163:G163"/>
    <mergeCell ref="E168:G168"/>
    <mergeCell ref="O168:Q169"/>
    <mergeCell ref="E169:G169"/>
    <mergeCell ref="E150:G150"/>
    <mergeCell ref="O150:Q151"/>
    <mergeCell ref="E151:G151"/>
    <mergeCell ref="E156:G156"/>
    <mergeCell ref="O156:Q157"/>
    <mergeCell ref="E157:G157"/>
    <mergeCell ref="O143:Q143"/>
    <mergeCell ref="E145:G145"/>
    <mergeCell ref="I118:M118"/>
    <mergeCell ref="B120:G120"/>
    <mergeCell ref="I120:M120"/>
    <mergeCell ref="F122:G122"/>
    <mergeCell ref="B127:D127"/>
    <mergeCell ref="E127:G127"/>
    <mergeCell ref="B116:G116"/>
    <mergeCell ref="I116:M116"/>
    <mergeCell ref="U105:W105"/>
    <mergeCell ref="U87:W87"/>
    <mergeCell ref="U88:W88"/>
    <mergeCell ref="U90:W90"/>
    <mergeCell ref="U91:W91"/>
    <mergeCell ref="U127:W127"/>
    <mergeCell ref="E94:G94"/>
    <mergeCell ref="E95:G95"/>
    <mergeCell ref="E96:G96"/>
    <mergeCell ref="E98:G98"/>
    <mergeCell ref="E102:G103"/>
    <mergeCell ref="U103:W103"/>
    <mergeCell ref="U92:W92"/>
    <mergeCell ref="U94:W94"/>
    <mergeCell ref="U95:W95"/>
    <mergeCell ref="U96:W96"/>
    <mergeCell ref="U98:W98"/>
    <mergeCell ref="U99:W99"/>
    <mergeCell ref="U100:W100"/>
    <mergeCell ref="U102:W102"/>
    <mergeCell ref="O75:O76"/>
    <mergeCell ref="Q75:Q76"/>
    <mergeCell ref="S75:S76"/>
    <mergeCell ref="U75:W76"/>
    <mergeCell ref="E78:G79"/>
    <mergeCell ref="O78:O79"/>
    <mergeCell ref="Q78:Q79"/>
    <mergeCell ref="S78:S79"/>
    <mergeCell ref="U78:W79"/>
    <mergeCell ref="O81:O82"/>
    <mergeCell ref="Q81:Q82"/>
    <mergeCell ref="S81:S82"/>
    <mergeCell ref="U81:W82"/>
    <mergeCell ref="O83:O84"/>
    <mergeCell ref="Q83:Q84"/>
    <mergeCell ref="S83:S84"/>
    <mergeCell ref="U83:W84"/>
    <mergeCell ref="U86:W86"/>
    <mergeCell ref="U71:W71"/>
    <mergeCell ref="E73:G73"/>
    <mergeCell ref="U73:W73"/>
    <mergeCell ref="B60:G60"/>
    <mergeCell ref="I60:M60"/>
    <mergeCell ref="B62:G62"/>
    <mergeCell ref="I62:M62"/>
    <mergeCell ref="B64:G64"/>
    <mergeCell ref="I64:M64"/>
    <mergeCell ref="E51:G52"/>
    <mergeCell ref="O51:O52"/>
    <mergeCell ref="S51:S52"/>
    <mergeCell ref="U51:W52"/>
    <mergeCell ref="E41:G46"/>
    <mergeCell ref="O41:O42"/>
    <mergeCell ref="Q41:Q42"/>
    <mergeCell ref="S41:S46"/>
    <mergeCell ref="U41:W42"/>
    <mergeCell ref="O43:O44"/>
    <mergeCell ref="Q43:Q44"/>
    <mergeCell ref="U43:W44"/>
    <mergeCell ref="O45:O46"/>
    <mergeCell ref="Q45:Q46"/>
    <mergeCell ref="B6:G6"/>
    <mergeCell ref="I6:M6"/>
    <mergeCell ref="B8:G8"/>
    <mergeCell ref="I8:M8"/>
    <mergeCell ref="B10:G10"/>
    <mergeCell ref="I10:M10"/>
    <mergeCell ref="E35:G36"/>
    <mergeCell ref="O35:O36"/>
    <mergeCell ref="S35:S36"/>
    <mergeCell ref="B28:D28"/>
    <mergeCell ref="E28:G28"/>
    <mergeCell ref="E30:G30"/>
    <mergeCell ref="E33:G33"/>
    <mergeCell ref="S162:S163"/>
    <mergeCell ref="S156:S157"/>
    <mergeCell ref="S150:S151"/>
    <mergeCell ref="F12:G12"/>
    <mergeCell ref="B17:W17"/>
    <mergeCell ref="B21:D21"/>
    <mergeCell ref="E21:G21"/>
    <mergeCell ref="U21:W21"/>
    <mergeCell ref="E23:G23"/>
    <mergeCell ref="U23:W23"/>
    <mergeCell ref="U35:W36"/>
    <mergeCell ref="O38:O39"/>
    <mergeCell ref="S38:S39"/>
    <mergeCell ref="U38:W39"/>
    <mergeCell ref="U30:W30"/>
    <mergeCell ref="U33:W33"/>
    <mergeCell ref="U28:W28"/>
    <mergeCell ref="U45:W46"/>
    <mergeCell ref="E38:G38"/>
    <mergeCell ref="E39:G39"/>
    <mergeCell ref="E48:G49"/>
    <mergeCell ref="O48:O49"/>
    <mergeCell ref="S48:S49"/>
    <mergeCell ref="U48:W49"/>
  </mergeCells>
  <conditionalFormatting sqref="I23 K23 I30 K30 I33 K33 I35:I36 K35:K36 I38:I39 K38:K39 I41:I46 K41:K46 I48:I49 K48:K49 I51:I52 K51:K52 I73 K73 I75:I76 K75:K76 I78:I79 K78:K79 I81:I84 K81:K84 I86:I88 K86:K88 I129 K129 I145 K145 I150:I151 K150:K151 I156:I157 K156:K157 I162:I163 K162:K163 I168:I169 K168:K169 I174:I175 K174:K175 I180:I181 K180:K181">
    <cfRule type="cellIs" dxfId="76" priority="9" operator="equal">
      <formula>"***"</formula>
    </cfRule>
  </conditionalFormatting>
  <conditionalFormatting sqref="I90:I92 K90:K92">
    <cfRule type="cellIs" dxfId="75" priority="8" operator="equal">
      <formula>"***"</formula>
    </cfRule>
  </conditionalFormatting>
  <conditionalFormatting sqref="I94:I96 K94:K96">
    <cfRule type="cellIs" dxfId="74" priority="6" operator="equal">
      <formula>"***"</formula>
    </cfRule>
  </conditionalFormatting>
  <conditionalFormatting sqref="I98:I100 K98:K100">
    <cfRule type="cellIs" dxfId="73" priority="5" operator="equal">
      <formula>"***"</formula>
    </cfRule>
  </conditionalFormatting>
  <conditionalFormatting sqref="I102:I105 K102:K105">
    <cfRule type="cellIs" dxfId="72" priority="4" operator="equal">
      <formula>"***"</formula>
    </cfRule>
  </conditionalFormatting>
  <conditionalFormatting sqref="I131:I133 K131:K133">
    <cfRule type="cellIs" dxfId="71" priority="2" operator="equal">
      <formula>"***"</formula>
    </cfRule>
  </conditionalFormatting>
  <conditionalFormatting sqref="I135:I137 K135:K137">
    <cfRule type="cellIs" dxfId="70" priority="3" operator="equal">
      <formula>"***"</formula>
    </cfRule>
  </conditionalFormatting>
  <hyperlinks>
    <hyperlink ref="V6" r:id="rId1" display="S&amp;P DJI ESG Metrics Reference Guide" xr:uid="{88DD3CC2-D6DF-407B-97C4-FD71A45E1AF4}"/>
    <hyperlink ref="V60" r:id="rId2" display="S&amp;P DJI ESG Metrics Reference Guide" xr:uid="{2FC5FDC0-FAD4-4BF2-8133-229441253E6E}"/>
    <hyperlink ref="V116" r:id="rId3" display="S&amp;P DJI ESG Metrics Reference Guide" xr:uid="{251339B0-7DF6-4923-9985-548A4C7E6581}"/>
    <hyperlink ref="E190" r:id="rId4" xr:uid="{DB699CBF-3E9F-4AF2-88C8-DF7935BD0F44}"/>
    <hyperlink ref="D192" r:id="rId5" xr:uid="{4225E33B-8293-4C4B-8426-C31B35A23FF2}"/>
  </hyperlinks>
  <printOptions gridLines="1"/>
  <pageMargins left="0" right="0" top="0" bottom="0" header="0.3" footer="0.3"/>
  <pageSetup scale="43" fitToHeight="0" orientation="landscape" r:id="rId6"/>
  <ignoredErrors>
    <ignoredError sqref="I120 I122 I66" unlockedFormula="1"/>
  </ignoredErrors>
  <drawing r:id="rId7"/>
  <extLst>
    <ext xmlns:x14="http://schemas.microsoft.com/office/spreadsheetml/2009/9/main" uri="{CCE6A557-97BC-4b89-ADB6-D9C93CAAB3DF}">
      <x14:dataValidations xmlns:xm="http://schemas.microsoft.com/office/excel/2006/main" count="1">
        <x14:dataValidation type="list" allowBlank="1" showInputMessage="1" showErrorMessage="1" xr:uid="{8B9555E1-9437-40AC-8118-42B3402209DC}">
          <x14:formula1>
            <xm:f>'Index and date'!$A$2:$A$3</xm:f>
          </x14:formula1>
          <xm:sqref>I10:M10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3D9A5A-40FC-47CF-B423-16A8AE3BA7D8}">
  <sheetPr>
    <tabColor theme="1"/>
    <pageSetUpPr fitToPage="1"/>
  </sheetPr>
  <dimension ref="A1:AF203"/>
  <sheetViews>
    <sheetView showGridLines="0" zoomScale="80" zoomScaleNormal="80" workbookViewId="0">
      <selection activeCell="Q18" sqref="Q18"/>
    </sheetView>
  </sheetViews>
  <sheetFormatPr defaultColWidth="9.28515625" defaultRowHeight="14.25"/>
  <cols>
    <col min="1" max="1" width="5.7109375" style="116" customWidth="1"/>
    <col min="2" max="4" width="5.42578125" style="116" customWidth="1"/>
    <col min="5" max="5" width="8.5703125" style="116" customWidth="1"/>
    <col min="6" max="6" width="15.7109375" style="116" customWidth="1"/>
    <col min="7" max="7" width="13.28515625" style="116" customWidth="1"/>
    <col min="8" max="8" width="1.5703125" style="116" customWidth="1"/>
    <col min="9" max="9" width="22.7109375" style="116" customWidth="1"/>
    <col min="10" max="10" width="2.28515625" style="116" customWidth="1"/>
    <col min="11" max="11" width="22.7109375" style="116" customWidth="1"/>
    <col min="12" max="12" width="1.42578125" style="116" customWidth="1"/>
    <col min="13" max="13" width="20.7109375" style="116" customWidth="1"/>
    <col min="14" max="14" width="5.7109375" style="116" customWidth="1"/>
    <col min="15" max="15" width="40.7109375" style="116" customWidth="1"/>
    <col min="16" max="16" width="2.7109375" style="116" customWidth="1"/>
    <col min="17" max="17" width="35.5703125" style="116" customWidth="1"/>
    <col min="18" max="18" width="2.7109375" style="116" customWidth="1"/>
    <col min="19" max="19" width="14.28515625" style="116" customWidth="1"/>
    <col min="20" max="20" width="2.7109375" style="116" customWidth="1"/>
    <col min="21" max="21" width="11.42578125" style="116" customWidth="1"/>
    <col min="22" max="22" width="2.7109375" style="116" customWidth="1"/>
    <col min="23" max="24" width="16.28515625" style="116" customWidth="1"/>
    <col min="25" max="25" width="27.5703125" style="116" customWidth="1"/>
    <col min="26" max="26" width="5.7109375" style="116" customWidth="1"/>
    <col min="27" max="27" width="9.28515625" style="116"/>
    <col min="28" max="28" width="14" style="116" customWidth="1"/>
    <col min="29" max="29" width="22.7109375" style="116" customWidth="1"/>
    <col min="30" max="30" width="16.42578125" style="116" customWidth="1"/>
    <col min="31" max="31" width="9.28515625" style="116"/>
    <col min="32" max="32" width="13" style="116" customWidth="1"/>
    <col min="33" max="33" width="9.28515625" style="116"/>
    <col min="34" max="34" width="11" style="116" customWidth="1"/>
    <col min="35" max="16384" width="9.28515625" style="116"/>
  </cols>
  <sheetData>
    <row r="1" spans="1:32" ht="75" customHeight="1">
      <c r="A1" s="50"/>
      <c r="B1" s="50"/>
      <c r="C1" s="50"/>
      <c r="D1" s="50"/>
      <c r="E1" s="50"/>
      <c r="F1" s="50"/>
      <c r="G1" s="50"/>
      <c r="H1" s="50"/>
      <c r="I1" s="50"/>
      <c r="J1" s="50"/>
      <c r="K1" s="50"/>
      <c r="L1" s="50"/>
      <c r="M1" s="50"/>
      <c r="N1" s="50"/>
      <c r="O1" s="50"/>
      <c r="P1" s="50"/>
      <c r="Q1" s="50"/>
      <c r="R1" s="50"/>
      <c r="S1" s="50"/>
      <c r="T1" s="50"/>
      <c r="U1" s="50"/>
      <c r="V1" s="50"/>
      <c r="W1" s="50"/>
      <c r="X1" s="50"/>
      <c r="Y1" s="50"/>
      <c r="Z1" s="50"/>
    </row>
    <row r="2" spans="1:32" ht="15" customHeight="1">
      <c r="A2" s="92"/>
      <c r="B2" s="92"/>
      <c r="C2" s="92"/>
      <c r="D2" s="92"/>
      <c r="E2" s="92"/>
      <c r="F2" s="92"/>
      <c r="G2" s="92"/>
      <c r="H2" s="92"/>
      <c r="I2" s="92"/>
      <c r="J2" s="92"/>
      <c r="K2" s="92"/>
      <c r="L2" s="92"/>
      <c r="M2" s="92"/>
      <c r="N2" s="92"/>
      <c r="O2" s="92"/>
      <c r="P2" s="92"/>
      <c r="Q2" s="92"/>
      <c r="R2" s="92"/>
      <c r="S2" s="92"/>
      <c r="T2" s="92"/>
      <c r="U2" s="92"/>
      <c r="V2" s="92"/>
      <c r="W2" s="92"/>
      <c r="X2" s="92"/>
      <c r="Y2" s="92"/>
      <c r="Z2" s="92"/>
    </row>
    <row r="3" spans="1:32" ht="30.75" customHeight="1">
      <c r="A3" s="92"/>
      <c r="B3" s="76" t="s">
        <v>91</v>
      </c>
      <c r="C3" s="16"/>
      <c r="D3" s="16"/>
      <c r="E3" s="92"/>
      <c r="F3" s="92"/>
      <c r="G3" s="92"/>
      <c r="H3" s="92"/>
      <c r="I3" s="92"/>
      <c r="J3" s="92"/>
      <c r="K3" s="92"/>
      <c r="L3" s="92"/>
      <c r="M3" s="92"/>
      <c r="N3" s="92"/>
      <c r="O3" s="92"/>
      <c r="P3" s="92"/>
      <c r="Q3" s="92"/>
      <c r="R3" s="92"/>
      <c r="S3" s="92"/>
      <c r="T3" s="92"/>
      <c r="U3" s="92"/>
      <c r="V3" s="92"/>
      <c r="W3" s="92"/>
      <c r="X3" s="92"/>
      <c r="Y3" s="197">
        <v>45947</v>
      </c>
      <c r="Z3" s="92"/>
    </row>
    <row r="4" spans="1:32" ht="15" customHeight="1">
      <c r="A4" s="92"/>
      <c r="B4" s="16"/>
      <c r="C4" s="16"/>
      <c r="D4" s="16"/>
      <c r="E4" s="92"/>
      <c r="F4" s="92"/>
      <c r="G4" s="92"/>
      <c r="H4" s="92"/>
      <c r="I4" s="92"/>
      <c r="J4" s="92"/>
      <c r="K4" s="92"/>
      <c r="L4" s="92"/>
      <c r="M4" s="92"/>
      <c r="N4" s="92"/>
      <c r="O4" s="92"/>
      <c r="P4" s="92"/>
      <c r="Q4" s="92"/>
      <c r="R4" s="92"/>
      <c r="S4" s="92"/>
      <c r="T4" s="92"/>
      <c r="U4" s="92"/>
      <c r="V4" s="92"/>
      <c r="W4" s="92"/>
      <c r="X4" s="92"/>
      <c r="Y4" s="92"/>
      <c r="Z4" s="92"/>
    </row>
    <row r="5" spans="1:32" ht="21" customHeight="1">
      <c r="A5" s="92"/>
      <c r="B5" s="8" t="s">
        <v>39</v>
      </c>
      <c r="C5" s="8"/>
      <c r="D5" s="8"/>
      <c r="E5" s="92"/>
      <c r="F5" s="92"/>
      <c r="G5" s="92"/>
      <c r="H5" s="92"/>
      <c r="I5" s="92"/>
      <c r="J5" s="92"/>
      <c r="K5" s="92"/>
      <c r="L5" s="92"/>
      <c r="M5" s="92"/>
      <c r="N5" s="92"/>
      <c r="O5" s="92"/>
      <c r="P5" s="92"/>
      <c r="Q5" s="92"/>
      <c r="R5" s="92"/>
      <c r="S5" s="92"/>
      <c r="T5" s="92"/>
      <c r="U5" s="92"/>
      <c r="V5" s="92"/>
      <c r="W5" s="92"/>
      <c r="X5" s="92"/>
      <c r="Y5" s="92"/>
      <c r="Z5" s="92"/>
    </row>
    <row r="6" spans="1:32" ht="15" customHeight="1">
      <c r="A6" s="92"/>
      <c r="B6" s="8"/>
      <c r="C6" s="8"/>
      <c r="D6" s="8"/>
      <c r="E6" s="92"/>
      <c r="F6" s="92"/>
      <c r="G6" s="92"/>
      <c r="H6" s="92"/>
      <c r="I6" s="92"/>
      <c r="J6" s="92"/>
      <c r="K6" s="92"/>
      <c r="L6" s="92"/>
      <c r="M6" s="92"/>
      <c r="N6" s="92"/>
      <c r="O6" s="92"/>
      <c r="P6" s="92"/>
      <c r="Q6" s="92"/>
      <c r="R6" s="92"/>
      <c r="S6" s="92"/>
      <c r="T6" s="92"/>
      <c r="U6" s="92"/>
      <c r="V6" s="92"/>
      <c r="W6" s="92"/>
      <c r="X6" s="92"/>
      <c r="Y6" s="92"/>
      <c r="Z6" s="92"/>
    </row>
    <row r="7" spans="1:32" ht="48.75" customHeight="1">
      <c r="A7" s="92"/>
      <c r="B7" s="354" t="s">
        <v>176</v>
      </c>
      <c r="C7" s="354"/>
      <c r="D7" s="354"/>
      <c r="E7" s="354"/>
      <c r="F7" s="354"/>
      <c r="G7" s="354"/>
      <c r="H7" s="354"/>
      <c r="I7" s="354"/>
      <c r="J7" s="354"/>
      <c r="K7" s="354"/>
      <c r="L7" s="354"/>
      <c r="M7" s="354"/>
      <c r="N7" s="354"/>
      <c r="O7" s="354"/>
      <c r="P7" s="354"/>
      <c r="Q7" s="354"/>
      <c r="R7" s="354"/>
      <c r="S7" s="354"/>
      <c r="T7" s="354"/>
      <c r="U7" s="354"/>
      <c r="V7" s="354"/>
      <c r="W7" s="354"/>
      <c r="X7" s="354"/>
      <c r="Y7" s="354"/>
      <c r="Z7" s="92"/>
    </row>
    <row r="8" spans="1:32" ht="15" customHeight="1">
      <c r="A8" s="92"/>
      <c r="B8" s="352" t="s">
        <v>33</v>
      </c>
      <c r="C8" s="377"/>
      <c r="D8" s="377"/>
      <c r="E8" s="377"/>
      <c r="F8" s="377"/>
      <c r="G8" s="353"/>
      <c r="H8" s="57"/>
      <c r="I8" s="509" t="str">
        <f>IF($I$10=" &lt;&lt;&lt; Select Index &gt;&gt;&gt;","",IF(ISERROR(VLOOKUP($I$10&amp;$I$12,'Database - FI'!$B:$DF,109,FALSE))=TRUE,"†",IF(ISBLANK((VLOOKUP($I$10&amp;$I$12,'Database - FI'!$B:$DF,109,FALSE))),"",VLOOKUP($I$10&amp;$I$12,'Database - FI'!$B:$DF,109,FALSE))))</f>
        <v xml:space="preserve">Multi-Asset Allocation Indices Methodology </v>
      </c>
      <c r="J8" s="510"/>
      <c r="K8" s="510"/>
      <c r="L8" s="510"/>
      <c r="M8" s="510"/>
      <c r="N8" s="510"/>
      <c r="O8" s="511"/>
      <c r="P8" s="92"/>
      <c r="Q8" s="21"/>
      <c r="R8" s="37"/>
      <c r="S8" s="92"/>
      <c r="T8" s="92"/>
      <c r="U8" s="92"/>
      <c r="V8" s="92"/>
      <c r="W8" s="92"/>
      <c r="X8" s="92"/>
      <c r="Y8" s="92"/>
      <c r="Z8" s="92"/>
    </row>
    <row r="9" spans="1:32" ht="4.5" customHeight="1" thickBot="1">
      <c r="A9" s="92"/>
      <c r="B9" s="11"/>
      <c r="C9" s="11"/>
      <c r="D9" s="11"/>
      <c r="E9" s="12"/>
      <c r="F9" s="11"/>
      <c r="G9" s="11"/>
      <c r="H9" s="59"/>
      <c r="I9" s="59"/>
      <c r="J9" s="59"/>
      <c r="K9" s="59"/>
      <c r="L9" s="59"/>
      <c r="M9" s="59"/>
      <c r="N9" s="59"/>
      <c r="O9" s="59"/>
      <c r="P9" s="92"/>
      <c r="Q9" s="60"/>
      <c r="R9" s="92"/>
      <c r="S9" s="92"/>
      <c r="T9" s="92"/>
      <c r="U9" s="92"/>
      <c r="V9" s="92"/>
      <c r="W9" s="92"/>
      <c r="X9" s="92"/>
      <c r="Y9" s="92"/>
      <c r="Z9" s="92"/>
    </row>
    <row r="10" spans="1:32" ht="15" customHeight="1" thickBot="1">
      <c r="A10" s="92"/>
      <c r="B10" s="395" t="s">
        <v>92</v>
      </c>
      <c r="C10" s="396"/>
      <c r="D10" s="396"/>
      <c r="E10" s="396"/>
      <c r="F10" s="396"/>
      <c r="G10" s="397"/>
      <c r="H10" s="61"/>
      <c r="I10" s="384" t="s">
        <v>177</v>
      </c>
      <c r="J10" s="385"/>
      <c r="K10" s="385"/>
      <c r="L10" s="385"/>
      <c r="M10" s="385"/>
      <c r="N10" s="385"/>
      <c r="O10" s="386"/>
      <c r="P10" s="92"/>
      <c r="Q10" s="198" t="s">
        <v>178</v>
      </c>
      <c r="R10" s="92"/>
      <c r="S10" s="199"/>
      <c r="T10" s="200"/>
      <c r="U10" s="200"/>
      <c r="V10" s="200"/>
      <c r="W10" s="200"/>
      <c r="X10" s="200"/>
      <c r="Y10" s="200"/>
      <c r="Z10" s="92"/>
    </row>
    <row r="11" spans="1:32" ht="7.5" customHeight="1" thickBot="1">
      <c r="A11" s="92"/>
      <c r="B11" s="5"/>
      <c r="C11" s="5"/>
      <c r="D11" s="5"/>
      <c r="E11" s="6"/>
      <c r="F11" s="7"/>
      <c r="G11" s="5"/>
      <c r="H11" s="62"/>
      <c r="I11" s="60"/>
      <c r="J11" s="60"/>
      <c r="K11" s="60"/>
      <c r="L11" s="60"/>
      <c r="M11" s="62"/>
      <c r="N11" s="60"/>
      <c r="O11" s="62"/>
      <c r="P11" s="60"/>
      <c r="Q11" s="60"/>
      <c r="R11" s="123"/>
      <c r="S11" s="201"/>
      <c r="T11" s="202"/>
      <c r="U11" s="202"/>
      <c r="V11" s="202"/>
      <c r="W11" s="202"/>
      <c r="X11" s="202"/>
      <c r="Y11" s="202"/>
      <c r="Z11" s="92"/>
    </row>
    <row r="12" spans="1:32" ht="15" customHeight="1" thickBot="1">
      <c r="A12" s="92"/>
      <c r="B12" s="5"/>
      <c r="C12" s="5"/>
      <c r="D12" s="5"/>
      <c r="E12" s="6"/>
      <c r="F12" s="395" t="s">
        <v>93</v>
      </c>
      <c r="G12" s="397"/>
      <c r="H12" s="61"/>
      <c r="I12" s="203">
        <f>REF!B3</f>
        <v>45922</v>
      </c>
      <c r="J12" s="204"/>
      <c r="K12" s="198"/>
      <c r="L12" s="26"/>
      <c r="M12" s="92"/>
      <c r="N12" s="60"/>
      <c r="O12" s="62"/>
      <c r="P12" s="60"/>
      <c r="Q12" s="60"/>
      <c r="R12" s="39"/>
      <c r="S12" s="205" t="s">
        <v>179</v>
      </c>
      <c r="T12" s="206"/>
      <c r="U12" s="207" t="s">
        <v>180</v>
      </c>
      <c r="V12" s="208"/>
      <c r="W12" s="208"/>
      <c r="X12" s="208"/>
      <c r="Y12" s="209" t="s">
        <v>181</v>
      </c>
      <c r="Z12" s="92"/>
    </row>
    <row r="13" spans="1:32" ht="8.25" customHeight="1">
      <c r="A13" s="92"/>
      <c r="B13" s="5"/>
      <c r="C13" s="5"/>
      <c r="D13" s="5"/>
      <c r="E13" s="6"/>
      <c r="F13" s="7"/>
      <c r="G13" s="5"/>
      <c r="H13" s="62"/>
      <c r="I13" s="60"/>
      <c r="J13" s="60"/>
      <c r="K13" s="60"/>
      <c r="L13" s="60"/>
      <c r="M13" s="62"/>
      <c r="N13" s="60"/>
      <c r="O13" s="62"/>
      <c r="P13" s="60"/>
      <c r="Q13" s="60"/>
      <c r="R13" s="60"/>
      <c r="S13" s="210"/>
      <c r="T13" s="211"/>
      <c r="U13" s="202"/>
      <c r="V13" s="208"/>
      <c r="W13" s="208"/>
      <c r="X13" s="208"/>
      <c r="Y13" s="212"/>
      <c r="Z13" s="39"/>
      <c r="AA13" s="39"/>
      <c r="AB13" s="39"/>
      <c r="AC13" s="39"/>
      <c r="AD13" s="39"/>
      <c r="AE13" s="39"/>
      <c r="AF13" s="39"/>
    </row>
    <row r="14" spans="1:32" ht="15" customHeight="1">
      <c r="A14" s="92"/>
      <c r="B14" s="5"/>
      <c r="C14" s="5"/>
      <c r="D14" s="5"/>
      <c r="E14" s="213"/>
      <c r="F14" s="502" t="s">
        <v>182</v>
      </c>
      <c r="G14" s="503"/>
      <c r="H14" s="214"/>
      <c r="I14" s="504" t="str">
        <f>IF($I$10=" &lt;&lt;&lt; Select Index &gt;&gt;&gt;","",IF(ISERROR(VLOOKUP($I$10&amp;$I$12,'Database - FI'!$B:$L,11,FALSE))=TRUE,"†",IF(ISBLANK((VLOOKUP($I$10&amp;$I$12,'Database - FI'!$B:$L,11,FALSE))),"",VLOOKUP($I$10&amp;$I$12,'Database - FI'!$B:$L,11,FALSE))))</f>
        <v>Sovereign Debt</v>
      </c>
      <c r="J14" s="505"/>
      <c r="K14" s="506"/>
      <c r="L14" s="62"/>
      <c r="M14" s="62"/>
      <c r="N14" s="62"/>
      <c r="O14" s="62"/>
      <c r="P14" s="60"/>
      <c r="Q14" s="60"/>
      <c r="R14" s="215"/>
      <c r="S14" s="210"/>
      <c r="T14" s="206"/>
      <c r="U14" s="207" t="s">
        <v>183</v>
      </c>
      <c r="V14" s="208"/>
      <c r="W14" s="208"/>
      <c r="X14" s="208"/>
      <c r="Y14" s="216" t="s">
        <v>184</v>
      </c>
      <c r="Z14" s="39"/>
      <c r="AA14" s="39"/>
      <c r="AB14" s="39"/>
      <c r="AC14" s="39"/>
      <c r="AD14" s="39"/>
      <c r="AE14" s="39"/>
      <c r="AF14" s="39"/>
    </row>
    <row r="15" spans="1:32" ht="15" customHeight="1">
      <c r="A15" s="92"/>
      <c r="B15" s="5"/>
      <c r="C15" s="5"/>
      <c r="D15" s="5"/>
      <c r="E15" s="6"/>
      <c r="F15" s="7"/>
      <c r="G15" s="5"/>
      <c r="H15" s="62"/>
      <c r="I15" s="60"/>
      <c r="J15" s="60"/>
      <c r="K15" s="60"/>
      <c r="L15" s="62"/>
      <c r="M15" s="62"/>
      <c r="N15" s="62"/>
      <c r="P15" s="60"/>
      <c r="Q15" s="60"/>
      <c r="R15" s="36"/>
      <c r="S15" s="217"/>
      <c r="T15" s="218"/>
      <c r="U15" s="218"/>
      <c r="V15" s="218"/>
      <c r="W15" s="218"/>
      <c r="X15" s="218"/>
      <c r="Y15" s="218"/>
      <c r="Z15" s="39"/>
      <c r="AA15" s="39"/>
      <c r="AB15" s="39"/>
      <c r="AC15" s="39"/>
      <c r="AD15" s="39"/>
      <c r="AE15" s="39"/>
      <c r="AF15" s="39"/>
    </row>
    <row r="16" spans="1:32" ht="15">
      <c r="A16" s="92"/>
      <c r="B16" s="5"/>
      <c r="C16" s="5"/>
      <c r="D16" s="5"/>
      <c r="E16" s="6"/>
      <c r="F16" s="395" t="s">
        <v>185</v>
      </c>
      <c r="G16" s="397"/>
      <c r="H16" s="62"/>
      <c r="I16" s="219">
        <f>IF($I$10=" &lt;&lt;&lt; Select Index &gt;&gt;&gt;","",IF(ISERROR(VLOOKUP($I$10&amp;$I$12,'Database - FI'!$B:$DC,6,FALSE))=TRUE,"†",IF(ISBLANK((VLOOKUP($I$10&amp;$I$12,'Database - FI'!$B:$DC,6,FALSE))),"",VLOOKUP($I$10&amp;$I$12,'Database - FI'!$B:$DC,6,FALSE))))</f>
        <v>25</v>
      </c>
      <c r="J16" s="60"/>
      <c r="K16" s="220" t="s">
        <v>186</v>
      </c>
      <c r="L16" s="62"/>
      <c r="M16" s="62"/>
      <c r="N16" s="60"/>
      <c r="O16" s="62"/>
      <c r="P16" s="60"/>
      <c r="Q16" s="60"/>
      <c r="R16" s="36"/>
      <c r="S16" s="123"/>
      <c r="T16" s="39"/>
      <c r="U16" s="39"/>
      <c r="V16" s="39"/>
      <c r="W16" s="39"/>
      <c r="X16" s="39"/>
      <c r="Y16" s="221"/>
      <c r="Z16" s="39"/>
      <c r="AA16" s="39"/>
      <c r="AB16" s="39"/>
      <c r="AC16" s="39"/>
      <c r="AD16" s="39"/>
      <c r="AE16" s="39"/>
      <c r="AF16" s="39"/>
    </row>
    <row r="17" spans="1:32" ht="8.25" customHeight="1">
      <c r="A17" s="92"/>
      <c r="B17" s="75"/>
      <c r="C17" s="5"/>
      <c r="D17" s="5"/>
      <c r="E17" s="6"/>
      <c r="F17" s="60"/>
      <c r="G17" s="60"/>
      <c r="H17" s="62"/>
      <c r="I17" s="60"/>
      <c r="J17" s="60"/>
      <c r="K17" s="60"/>
      <c r="L17" s="60"/>
      <c r="M17" s="62"/>
      <c r="N17" s="60"/>
      <c r="O17" s="62"/>
      <c r="P17" s="60"/>
      <c r="Q17" s="60"/>
      <c r="R17" s="36"/>
      <c r="S17" s="92"/>
      <c r="T17" s="123"/>
      <c r="U17" s="123"/>
      <c r="V17" s="92"/>
      <c r="W17" s="92"/>
      <c r="X17" s="92"/>
      <c r="Y17" s="38"/>
      <c r="Z17" s="39"/>
      <c r="AA17" s="39"/>
      <c r="AB17" s="39"/>
      <c r="AC17" s="39"/>
      <c r="AD17" s="39"/>
      <c r="AE17" s="39"/>
      <c r="AF17" s="39"/>
    </row>
    <row r="18" spans="1:32" ht="15.75" customHeight="1">
      <c r="A18" s="92"/>
      <c r="B18" s="75"/>
      <c r="C18" s="507" t="s">
        <v>187</v>
      </c>
      <c r="D18" s="507"/>
      <c r="E18" s="507"/>
      <c r="F18" s="507"/>
      <c r="G18" s="507"/>
      <c r="H18" s="62"/>
      <c r="I18" s="222">
        <f>IF($I$10=" &lt;&lt;&lt; Select Index &gt;&gt;&gt;","",IF(ISERROR(VLOOKUP($I$10&amp;$I$12,'Database - FI'!$B:$DC,8,FALSE))=TRUE,"†",IF(ISBLANK((VLOOKUP($I$10&amp;$I$12,'Database - FI'!$B:$DC,8,FALSE))),"",VLOOKUP($I$10&amp;$I$12,'Database - FI'!$B:$DC,8,FALSE))))</f>
        <v>0</v>
      </c>
      <c r="J18" s="223"/>
      <c r="K18" s="224">
        <f>IF($I$10=" &lt;&lt;&lt; Select Index &gt;&gt;&gt;","",IF(ISERROR(VLOOKUP($I$10&amp;$I$12,'Database - FI'!$B:$DC,10,FALSE))=TRUE,"†",IF(ISBLANK((VLOOKUP($I$10&amp;$I$12,'Database - FI'!$B:$DC,10,FALSE))),"",VLOOKUP($I$10&amp;$I$12,'Database - FI'!$B:$DC,10,FALSE))))</f>
        <v>0</v>
      </c>
      <c r="L18" s="60"/>
      <c r="M18" s="62"/>
      <c r="N18" s="60"/>
      <c r="O18" s="62"/>
      <c r="P18" s="60"/>
      <c r="Q18" s="60"/>
      <c r="R18" s="36"/>
      <c r="S18" s="92"/>
      <c r="T18" s="123"/>
      <c r="U18" s="123"/>
      <c r="V18" s="92"/>
      <c r="W18" s="92"/>
      <c r="X18" s="92"/>
      <c r="Y18" s="38"/>
      <c r="Z18" s="39"/>
      <c r="AA18" s="39"/>
      <c r="AB18" s="39"/>
      <c r="AC18" s="39"/>
      <c r="AD18" s="39"/>
      <c r="AE18" s="39"/>
      <c r="AF18" s="39"/>
    </row>
    <row r="19" spans="1:32" ht="15.75" customHeight="1">
      <c r="A19" s="92"/>
      <c r="B19" s="75"/>
      <c r="C19" s="508" t="s">
        <v>188</v>
      </c>
      <c r="D19" s="508"/>
      <c r="E19" s="508"/>
      <c r="F19" s="508"/>
      <c r="G19" s="508"/>
      <c r="H19" s="62"/>
      <c r="I19" s="219">
        <f>IF($I$10=" &lt;&lt;&lt; Select Index &gt;&gt;&gt;","",IF(ISERROR(VLOOKUP($I$10&amp;$I$12,'Database - FI'!$B:$DC,7,FALSE))=TRUE,"†",IF(ISBLANK((VLOOKUP($I$10&amp;$I$12,'Database - FI'!$B:$DC,7,FALSE))),"",VLOOKUP($I$10&amp;$I$12,'Database - FI'!$B:$DC,7,FALSE))))</f>
        <v>25</v>
      </c>
      <c r="J19" s="60"/>
      <c r="K19" s="225">
        <f>IF($I$10=" &lt;&lt;&lt; Select Index &gt;&gt;&gt;","",IF(ISERROR(VLOOKUP($I$10&amp;$I$12,'Database - FI'!$B:$DC,9,FALSE))=TRUE,"†",IF(ISBLANK((VLOOKUP($I$10&amp;$I$12,'Database - FI'!$B:$DC,9,FALSE))),"",VLOOKUP($I$10&amp;$I$12,'Database - FI'!$B:$DC,9,FALSE))))</f>
        <v>1</v>
      </c>
      <c r="L19" s="60"/>
      <c r="M19" s="62"/>
      <c r="N19" s="60"/>
      <c r="O19" s="62"/>
      <c r="P19" s="60"/>
      <c r="Q19" s="60"/>
      <c r="R19" s="36"/>
      <c r="S19" s="499" t="s">
        <v>189</v>
      </c>
      <c r="T19" s="500"/>
      <c r="U19" s="501"/>
      <c r="V19" s="92"/>
      <c r="W19" s="492" t="str">
        <f>IF($I$10=" &lt;&lt;&lt; Select Index &gt;&gt;&gt;","",IF(ISERROR(VLOOKUP($I$10&amp;$I$12,'Database - FI'!$B:$DG,110,FALSE))=TRUE,"†",IF(ISBLANK((VLOOKUP($I$10&amp;$I$12,'Database - FI'!$B:$DG,110,FALSE))),"",VLOOKUP($I$10&amp;$I$12,'Database - FI'!$B:$DG,110,FALSE))))</f>
        <v>Sustainalytics</v>
      </c>
      <c r="X19" s="493"/>
      <c r="Y19" s="494"/>
      <c r="Z19" s="39"/>
      <c r="AA19" s="39"/>
      <c r="AB19" s="39"/>
      <c r="AC19" s="39"/>
      <c r="AD19" s="39"/>
      <c r="AE19" s="39"/>
      <c r="AF19" s="39"/>
    </row>
    <row r="20" spans="1:32" ht="18" customHeight="1">
      <c r="A20" s="92"/>
      <c r="B20" s="75"/>
      <c r="C20" s="5"/>
      <c r="D20" s="5"/>
      <c r="E20" s="92"/>
      <c r="F20" s="92"/>
      <c r="G20" s="92"/>
      <c r="H20" s="92"/>
      <c r="I20" s="92"/>
      <c r="J20" s="60"/>
      <c r="K20" s="60"/>
      <c r="L20" s="60"/>
      <c r="M20" s="62"/>
      <c r="N20" s="60"/>
      <c r="O20" s="62"/>
      <c r="P20" s="60"/>
      <c r="Q20" s="60"/>
      <c r="R20" s="36"/>
      <c r="S20" s="92"/>
      <c r="T20" s="123"/>
      <c r="U20" s="123"/>
      <c r="V20" s="92"/>
      <c r="W20" s="92"/>
      <c r="X20" s="92"/>
      <c r="Y20" s="38"/>
      <c r="Z20" s="39"/>
      <c r="AA20" s="39"/>
      <c r="AB20" s="39"/>
      <c r="AC20" s="39"/>
      <c r="AD20" s="39"/>
      <c r="AE20" s="39"/>
      <c r="AF20" s="39"/>
    </row>
    <row r="21" spans="1:32" s="147" customFormat="1" ht="18">
      <c r="A21" s="115"/>
      <c r="B21" s="226" t="s">
        <v>41</v>
      </c>
      <c r="C21" s="227"/>
      <c r="D21" s="227"/>
      <c r="E21" s="228"/>
      <c r="F21" s="228"/>
      <c r="G21" s="228"/>
      <c r="H21" s="228"/>
      <c r="I21" s="228"/>
      <c r="J21" s="228"/>
      <c r="K21" s="228"/>
      <c r="L21" s="228"/>
      <c r="M21" s="228"/>
      <c r="N21" s="228"/>
      <c r="O21" s="228"/>
      <c r="P21" s="228"/>
      <c r="Q21" s="227"/>
      <c r="R21" s="228"/>
      <c r="S21" s="228"/>
      <c r="T21" s="228"/>
      <c r="U21" s="228"/>
      <c r="V21" s="228"/>
      <c r="W21" s="228"/>
      <c r="X21" s="228"/>
      <c r="Y21" s="228"/>
      <c r="Z21" s="115"/>
    </row>
    <row r="22" spans="1:32" ht="7.5" customHeight="1">
      <c r="A22" s="92"/>
      <c r="B22" s="92"/>
      <c r="C22" s="92"/>
      <c r="D22" s="92"/>
      <c r="E22" s="92"/>
      <c r="F22" s="92"/>
      <c r="G22" s="92"/>
      <c r="H22" s="92"/>
      <c r="I22" s="92"/>
      <c r="J22" s="92"/>
      <c r="K22" s="92"/>
      <c r="L22" s="92"/>
      <c r="M22" s="92"/>
      <c r="N22" s="92"/>
      <c r="O22" s="92"/>
      <c r="P22" s="92"/>
      <c r="Q22" s="92"/>
      <c r="R22" s="92"/>
      <c r="S22" s="92"/>
      <c r="T22" s="92"/>
      <c r="U22" s="92"/>
      <c r="V22" s="92"/>
      <c r="W22" s="92"/>
      <c r="X22" s="92"/>
      <c r="Y22" s="92"/>
      <c r="Z22" s="92"/>
    </row>
    <row r="23" spans="1:32" ht="38.25" customHeight="1">
      <c r="A23" s="92"/>
      <c r="B23" s="355" t="s">
        <v>190</v>
      </c>
      <c r="C23" s="355"/>
      <c r="D23" s="355"/>
      <c r="E23" s="229"/>
      <c r="F23" s="495" t="s">
        <v>191</v>
      </c>
      <c r="G23" s="495"/>
      <c r="H23" s="495"/>
      <c r="I23" s="495"/>
      <c r="J23" s="495"/>
      <c r="K23" s="495"/>
      <c r="L23" s="92"/>
      <c r="M23" s="230" t="s">
        <v>192</v>
      </c>
      <c r="N23" s="92"/>
      <c r="O23" s="231" t="s">
        <v>44</v>
      </c>
      <c r="P23" s="92"/>
      <c r="Q23" s="485" t="s">
        <v>47</v>
      </c>
      <c r="R23" s="485"/>
      <c r="S23" s="485"/>
      <c r="T23" s="485"/>
      <c r="U23" s="485"/>
      <c r="V23" s="485"/>
      <c r="W23" s="485"/>
      <c r="X23" s="485"/>
      <c r="Y23" s="485"/>
      <c r="Z23" s="92"/>
    </row>
    <row r="24" spans="1:32" ht="7.5" customHeight="1">
      <c r="A24" s="92"/>
      <c r="B24" s="92"/>
      <c r="C24" s="92"/>
      <c r="D24" s="92"/>
      <c r="E24" s="92"/>
      <c r="F24" s="92"/>
      <c r="G24" s="92"/>
      <c r="H24" s="92"/>
      <c r="I24" s="92"/>
      <c r="J24" s="92"/>
      <c r="K24" s="92"/>
      <c r="L24" s="92"/>
      <c r="M24" s="92"/>
      <c r="N24" s="92"/>
      <c r="O24" s="92"/>
      <c r="P24" s="92"/>
      <c r="Q24" s="92"/>
      <c r="R24" s="92"/>
      <c r="S24" s="75"/>
      <c r="T24" s="75"/>
      <c r="U24" s="75"/>
      <c r="V24" s="92"/>
      <c r="W24" s="92"/>
      <c r="X24" s="92"/>
      <c r="Y24" s="92"/>
      <c r="Z24" s="92"/>
    </row>
    <row r="25" spans="1:32" ht="28.5" customHeight="1">
      <c r="A25" s="92"/>
      <c r="B25" s="468" t="s">
        <v>193</v>
      </c>
      <c r="C25" s="468"/>
      <c r="D25" s="468"/>
      <c r="E25" s="92"/>
      <c r="F25" s="496" t="s">
        <v>48</v>
      </c>
      <c r="G25" s="497"/>
      <c r="H25" s="497"/>
      <c r="I25" s="497"/>
      <c r="J25" s="497"/>
      <c r="K25" s="498"/>
      <c r="L25" s="66"/>
      <c r="M25" s="232">
        <f>IF($I$10=" &lt;&lt;&lt; Select Index &gt;&gt;&gt;","",IF(ISERROR(VLOOKUP($I$10&amp;$I$12,'Database - FI'!$B:$DC,12,FALSE))=TRUE,"†",IF(ISBLANK((VLOOKUP($I$10&amp;$I$12,'Database - FI'!$B:$DC,12,FALSE))),"",VLOOKUP($I$10&amp;$I$12,'Database - FI'!$B:$DC,12,FALSE))))</f>
        <v>67.198718425547895</v>
      </c>
      <c r="N25" s="67"/>
      <c r="O25" s="233" t="s">
        <v>49</v>
      </c>
      <c r="P25" s="92"/>
      <c r="Q25" s="461" t="str">
        <f>IF(W19="MSCI",[2]REF!AR5,[2]REF!AR4)</f>
        <v xml:space="preserve">The ‘Weighted-Average ESG Score’ is an index weighted average of the Sustainalytics corporate and sovereign ESG Risk Scores of index constituents. The lowest score possible (best) is 0. This metric is a consolidated score including any corporate and sovereign bonds. </v>
      </c>
      <c r="R25" s="462"/>
      <c r="S25" s="462"/>
      <c r="T25" s="462"/>
      <c r="U25" s="462"/>
      <c r="V25" s="462"/>
      <c r="W25" s="462"/>
      <c r="X25" s="462"/>
      <c r="Y25" s="463"/>
      <c r="Z25" s="92"/>
    </row>
    <row r="26" spans="1:32" ht="7.5" customHeight="1">
      <c r="A26" s="92"/>
      <c r="B26" s="92"/>
      <c r="C26" s="92"/>
      <c r="D26" s="92"/>
      <c r="E26" s="92"/>
      <c r="F26" s="234"/>
      <c r="G26" s="234"/>
      <c r="H26" s="234"/>
      <c r="I26" s="234"/>
      <c r="J26" s="234"/>
      <c r="K26" s="234"/>
      <c r="L26" s="92"/>
      <c r="M26" s="92"/>
      <c r="N26" s="92"/>
      <c r="O26" s="235"/>
      <c r="P26" s="92"/>
      <c r="Q26" s="92"/>
      <c r="R26" s="92"/>
      <c r="S26" s="92"/>
      <c r="T26" s="92"/>
      <c r="U26" s="92"/>
      <c r="V26" s="92"/>
      <c r="W26" s="92"/>
      <c r="X26" s="92"/>
      <c r="Y26" s="92"/>
      <c r="Z26" s="92"/>
    </row>
    <row r="27" spans="1:32" ht="14.25" customHeight="1">
      <c r="A27" s="92"/>
      <c r="B27" s="92"/>
      <c r="C27" s="92"/>
      <c r="D27" s="92"/>
      <c r="E27" s="92"/>
      <c r="F27" s="234"/>
      <c r="G27" s="234"/>
      <c r="H27" s="92"/>
      <c r="I27" s="455" t="s">
        <v>194</v>
      </c>
      <c r="J27" s="455"/>
      <c r="K27" s="455"/>
      <c r="L27" s="92"/>
      <c r="M27" s="236">
        <f>IF($I$10=" &lt;&lt;&lt; Select Index &gt;&gt;&gt;","",IF(ISERROR(VLOOKUP($I$10&amp;$I$12,'Database - FI'!$B:$DC,14,FALSE))=TRUE,"†",IF(ISBLANK((VLOOKUP($I$10&amp;$I$12,'Database - FI'!$B:$DC,14,FALSE))),"",VLOOKUP($I$10&amp;$I$12,'Database - FI'!$B:$DC,14,FALSE))))</f>
        <v>1</v>
      </c>
      <c r="N27" s="92"/>
      <c r="O27" s="235"/>
      <c r="P27" s="92"/>
      <c r="Q27" s="92"/>
      <c r="R27" s="92"/>
      <c r="S27" s="92"/>
      <c r="T27" s="92"/>
      <c r="U27" s="92"/>
      <c r="V27" s="92"/>
      <c r="W27" s="92"/>
      <c r="X27" s="92"/>
      <c r="Y27" s="92"/>
      <c r="Z27" s="92"/>
    </row>
    <row r="28" spans="1:32" ht="14.25" customHeight="1">
      <c r="A28" s="92"/>
      <c r="B28" s="92"/>
      <c r="C28" s="92"/>
      <c r="D28" s="92"/>
      <c r="E28" s="92"/>
      <c r="F28" s="234"/>
      <c r="G28" s="234"/>
      <c r="H28" s="92"/>
      <c r="I28" s="455" t="s">
        <v>195</v>
      </c>
      <c r="J28" s="455"/>
      <c r="K28" s="455"/>
      <c r="L28" s="92"/>
      <c r="M28" s="237">
        <f>IF($I$10=" &lt;&lt;&lt; Select Index &gt;&gt;&gt;","",IF(ISERROR(VLOOKUP($I$10&amp;$I$12,'Database - FI'!$B:$DC,13,FALSE))=TRUE,"†",IF(ISBLANK((VLOOKUP($I$10&amp;$I$12,'Database - FI'!$B:$DC,13,FALSE))),"",VLOOKUP($I$10&amp;$I$12,'Database - FI'!$B:$DC,13,FALSE))))</f>
        <v>0.99866101368262505</v>
      </c>
      <c r="N28" s="92"/>
      <c r="O28" s="235"/>
      <c r="P28" s="92"/>
      <c r="Q28" s="92"/>
      <c r="R28" s="92"/>
      <c r="S28" s="92"/>
      <c r="T28" s="92"/>
      <c r="U28" s="92"/>
      <c r="V28" s="92"/>
      <c r="W28" s="92"/>
      <c r="X28" s="92"/>
      <c r="Y28" s="92"/>
      <c r="Z28" s="92"/>
    </row>
    <row r="29" spans="1:32" ht="17.25" customHeight="1">
      <c r="A29" s="92"/>
      <c r="B29" s="92"/>
      <c r="C29" s="92"/>
      <c r="D29" s="92"/>
      <c r="E29" s="92"/>
      <c r="F29" s="234"/>
      <c r="G29" s="234"/>
      <c r="H29" s="234"/>
      <c r="I29" s="234"/>
      <c r="J29" s="234"/>
      <c r="K29" s="234"/>
      <c r="L29" s="92"/>
      <c r="M29" s="92"/>
      <c r="N29" s="92"/>
      <c r="O29" s="235"/>
      <c r="P29" s="92"/>
      <c r="Q29" s="92"/>
      <c r="R29" s="92"/>
      <c r="S29" s="92"/>
      <c r="T29" s="92"/>
      <c r="U29" s="92"/>
      <c r="V29" s="92"/>
      <c r="W29" s="92"/>
      <c r="X29" s="92"/>
      <c r="Y29" s="92"/>
      <c r="Z29" s="92"/>
    </row>
    <row r="30" spans="1:32" ht="7.5" customHeight="1">
      <c r="A30" s="92"/>
      <c r="B30" s="92"/>
      <c r="C30" s="92"/>
      <c r="D30" s="92"/>
      <c r="E30" s="92"/>
      <c r="F30" s="238"/>
      <c r="G30" s="238"/>
      <c r="H30" s="238"/>
      <c r="I30" s="238"/>
      <c r="J30" s="238"/>
      <c r="K30" s="238"/>
      <c r="L30" s="92"/>
      <c r="M30" s="92"/>
      <c r="N30" s="92"/>
      <c r="O30" s="235"/>
      <c r="P30" s="92"/>
      <c r="Q30" s="92"/>
      <c r="R30" s="92"/>
      <c r="S30" s="92"/>
      <c r="T30" s="92"/>
      <c r="U30" s="92"/>
      <c r="V30" s="92"/>
      <c r="W30" s="92"/>
      <c r="X30" s="92"/>
      <c r="Y30" s="92"/>
      <c r="Z30" s="92"/>
    </row>
    <row r="31" spans="1:32" ht="27" customHeight="1">
      <c r="A31" s="92"/>
      <c r="B31" s="468" t="s">
        <v>196</v>
      </c>
      <c r="C31" s="468"/>
      <c r="D31" s="468"/>
      <c r="E31" s="92"/>
      <c r="F31" s="458" t="s">
        <v>53</v>
      </c>
      <c r="G31" s="459"/>
      <c r="H31" s="459"/>
      <c r="I31" s="459"/>
      <c r="J31" s="459"/>
      <c r="K31" s="460"/>
      <c r="L31" s="66"/>
      <c r="M31" s="232">
        <f>IF($I$10=" &lt;&lt;&lt; Select Index &gt;&gt;&gt;","",IF(ISERROR(VLOOKUP($I$10&amp;$I$12,'Database - FI'!$B:$DC,15,FALSE))=TRUE,"†",IF(ISBLANK((VLOOKUP($I$10&amp;$I$12,'Database - FI'!$B:$DC,15,FALSE))),"",VLOOKUP($I$10&amp;$I$12,'Database - FI'!$B:$DC,15,FALSE))))</f>
        <v>63.627249231025303</v>
      </c>
      <c r="N31" s="67"/>
      <c r="O31" s="239" t="s">
        <v>54</v>
      </c>
      <c r="P31" s="92"/>
      <c r="Q31" s="461" t="str">
        <f>IF(W19="MSCI",[2]REF!AS5,[2]REF!AS4)</f>
        <v xml:space="preserve">The ‘Weighted-Average Environmental Score’ is an index weighted average of the Sustainalytics corporate and sovereign Environmental Risk Scores  of index constituents. The lowest score possible (best) is 0. This metric is a consolidated score including any corporate and sovereign bonds. </v>
      </c>
      <c r="R31" s="462"/>
      <c r="S31" s="462"/>
      <c r="T31" s="462"/>
      <c r="U31" s="462"/>
      <c r="V31" s="462"/>
      <c r="W31" s="462"/>
      <c r="X31" s="462"/>
      <c r="Y31" s="463"/>
      <c r="Z31" s="92"/>
    </row>
    <row r="32" spans="1:32" ht="7.5" customHeight="1">
      <c r="A32" s="92"/>
      <c r="B32" s="92"/>
      <c r="C32" s="92"/>
      <c r="D32" s="92"/>
      <c r="E32" s="92"/>
      <c r="F32" s="238"/>
      <c r="G32" s="238"/>
      <c r="H32" s="238"/>
      <c r="I32" s="238"/>
      <c r="J32" s="238"/>
      <c r="K32" s="238"/>
      <c r="L32" s="92"/>
      <c r="M32" s="92"/>
      <c r="N32" s="92"/>
      <c r="O32" s="235"/>
      <c r="P32" s="92"/>
      <c r="Q32" s="92"/>
      <c r="R32" s="92"/>
      <c r="S32" s="92"/>
      <c r="T32" s="92"/>
      <c r="U32" s="92"/>
      <c r="V32" s="92"/>
      <c r="W32" s="92"/>
      <c r="X32" s="92"/>
      <c r="Y32" s="92"/>
      <c r="Z32" s="92"/>
    </row>
    <row r="33" spans="1:27" ht="27" customHeight="1">
      <c r="A33" s="92"/>
      <c r="B33" s="468" t="s">
        <v>197</v>
      </c>
      <c r="C33" s="468"/>
      <c r="D33" s="468"/>
      <c r="E33" s="92"/>
      <c r="F33" s="486" t="s">
        <v>95</v>
      </c>
      <c r="G33" s="487"/>
      <c r="H33" s="487"/>
      <c r="I33" s="487"/>
      <c r="J33" s="487"/>
      <c r="K33" s="488"/>
      <c r="L33" s="66"/>
      <c r="M33" s="232">
        <f>IF($I$10=" &lt;&lt;&lt; Select Index &gt;&gt;&gt;","",IF(ISERROR(VLOOKUP($I$10&amp;$I$12,'Database - FI'!$B:$DC,18,FALSE))=TRUE,"†",IF(ISBLANK((VLOOKUP($I$10&amp;$I$12,'Database - FI'!$B:$DC,18,FALSE))),"",VLOOKUP($I$10&amp;$I$12,'Database - FI'!$B:$DC,18,FALSE))))</f>
        <v>67.104725775717696</v>
      </c>
      <c r="N33" s="67"/>
      <c r="O33" s="240" t="s">
        <v>96</v>
      </c>
      <c r="P33" s="92"/>
      <c r="Q33" s="461" t="str">
        <f>IF(W19="MSCI",[2]REF!AT5,[2]REF!AT4)</f>
        <v xml:space="preserve">The ‘Weighted-Average Social Score’ is an index weighted average of the Sustainalytics corporate and sovereign Social Risk Scores of index constituents. The lowest score possible (best) is 0. This metric is a consolidated score including any corporate and sovereign bonds. </v>
      </c>
      <c r="R33" s="462"/>
      <c r="S33" s="462"/>
      <c r="T33" s="462"/>
      <c r="U33" s="462"/>
      <c r="V33" s="462"/>
      <c r="W33" s="462"/>
      <c r="X33" s="462"/>
      <c r="Y33" s="463"/>
      <c r="Z33" s="92"/>
    </row>
    <row r="34" spans="1:27" ht="7.5" customHeight="1">
      <c r="A34" s="92"/>
      <c r="B34" s="92"/>
      <c r="C34" s="92"/>
      <c r="D34" s="92"/>
      <c r="E34" s="92"/>
      <c r="F34" s="238"/>
      <c r="G34" s="238"/>
      <c r="H34" s="238"/>
      <c r="I34" s="238"/>
      <c r="J34" s="238"/>
      <c r="K34" s="238"/>
      <c r="L34" s="92"/>
      <c r="M34" s="92"/>
      <c r="N34" s="92"/>
      <c r="O34" s="235"/>
      <c r="P34" s="92"/>
      <c r="Q34" s="92"/>
      <c r="R34" s="92"/>
      <c r="S34" s="92"/>
      <c r="T34" s="92"/>
      <c r="U34" s="92"/>
      <c r="V34" s="92"/>
      <c r="W34" s="92"/>
      <c r="X34" s="92"/>
      <c r="Y34" s="92"/>
      <c r="Z34" s="92"/>
    </row>
    <row r="35" spans="1:27" ht="27" customHeight="1">
      <c r="A35" s="92"/>
      <c r="B35" s="468" t="s">
        <v>198</v>
      </c>
      <c r="C35" s="468"/>
      <c r="D35" s="468"/>
      <c r="E35" s="92"/>
      <c r="F35" s="489" t="s">
        <v>140</v>
      </c>
      <c r="G35" s="490"/>
      <c r="H35" s="490"/>
      <c r="I35" s="490"/>
      <c r="J35" s="490"/>
      <c r="K35" s="491"/>
      <c r="L35" s="66"/>
      <c r="M35" s="232">
        <f>IF($I$10=" &lt;&lt;&lt; Select Index &gt;&gt;&gt;","",IF(ISERROR(VLOOKUP($I$10&amp;$I$12,'Database - FI'!$B:$DC,21,FALSE))=TRUE,"†",IF(ISBLANK((VLOOKUP($I$10&amp;$I$12,'Database - FI'!$B:$DC,21,FALSE))),"",VLOOKUP($I$10&amp;$I$12,'Database - FI'!$B:$DC,21,FALSE))))</f>
        <v>68.3359540387859</v>
      </c>
      <c r="N35" s="67"/>
      <c r="O35" s="241" t="s">
        <v>141</v>
      </c>
      <c r="P35" s="92"/>
      <c r="Q35" s="461" t="str">
        <f>IF(W19="MSCI",[2]REF!AU5,[2]REF!AU4)</f>
        <v xml:space="preserve">The ‘Weighted-Average Governance Score’ is an index weighted average of the Sustainalytics corporate and sovereign Governance Risk Scores of index constituents. The lowest score possible (best) is 0. This metric is a consolidated score including any corporate and sovereign bonds. </v>
      </c>
      <c r="R35" s="462"/>
      <c r="S35" s="462"/>
      <c r="T35" s="462"/>
      <c r="U35" s="462"/>
      <c r="V35" s="462"/>
      <c r="W35" s="462"/>
      <c r="X35" s="462"/>
      <c r="Y35" s="463"/>
      <c r="Z35" s="92"/>
    </row>
    <row r="36" spans="1:27" ht="7.5" customHeight="1">
      <c r="A36" s="92"/>
      <c r="B36" s="92"/>
      <c r="C36" s="92"/>
      <c r="D36" s="92"/>
      <c r="E36" s="92"/>
      <c r="F36" s="92"/>
      <c r="G36" s="92"/>
      <c r="H36" s="92"/>
      <c r="I36" s="92"/>
      <c r="J36" s="92"/>
      <c r="K36" s="92"/>
      <c r="L36" s="92"/>
      <c r="M36" s="92"/>
      <c r="N36" s="92"/>
      <c r="O36" s="75"/>
      <c r="P36" s="92"/>
      <c r="Q36" s="92"/>
      <c r="R36" s="92"/>
      <c r="S36" s="92"/>
      <c r="T36" s="92"/>
      <c r="U36" s="92"/>
      <c r="V36" s="92"/>
      <c r="W36" s="92"/>
      <c r="X36" s="92"/>
      <c r="Y36" s="92"/>
      <c r="Z36" s="92"/>
    </row>
    <row r="37" spans="1:27" ht="15" customHeight="1">
      <c r="A37" s="92"/>
      <c r="B37" s="92"/>
      <c r="C37" s="92"/>
      <c r="D37" s="92"/>
      <c r="E37" s="92"/>
      <c r="F37" s="92"/>
      <c r="G37" s="242"/>
      <c r="H37" s="92"/>
      <c r="I37" s="455" t="s">
        <v>194</v>
      </c>
      <c r="J37" s="455"/>
      <c r="K37" s="455"/>
      <c r="L37" s="92"/>
      <c r="M37" s="236">
        <f>IF($I$10=" &lt;&lt;&lt; Select Index &gt;&gt;&gt;","",IF(ISERROR(VLOOKUP($I$10&amp;$I$12,'Database - FI'!$B:$DC,17,FALSE))=TRUE,"†",IF(ISBLANK((VLOOKUP($I$10&amp;$I$12,'Database - FI'!$B:$DC,17,FALSE))),"",VLOOKUP($I$10&amp;$I$12,'Database - FI'!$B:$DC,17,FALSE))))</f>
        <v>1</v>
      </c>
      <c r="N37" s="75"/>
      <c r="O37" s="75"/>
      <c r="P37" s="92"/>
      <c r="Q37" s="92"/>
      <c r="R37" s="92"/>
      <c r="S37" s="92"/>
      <c r="T37" s="92"/>
      <c r="U37" s="92"/>
      <c r="V37" s="92"/>
      <c r="W37" s="92"/>
      <c r="X37" s="92"/>
      <c r="Y37" s="92"/>
      <c r="Z37" s="92"/>
    </row>
    <row r="38" spans="1:27" ht="14.25" customHeight="1">
      <c r="A38" s="92"/>
      <c r="B38" s="92"/>
      <c r="C38" s="92"/>
      <c r="D38" s="92"/>
      <c r="E38" s="92"/>
      <c r="F38" s="92"/>
      <c r="G38" s="92"/>
      <c r="H38" s="92"/>
      <c r="I38" s="455" t="s">
        <v>195</v>
      </c>
      <c r="J38" s="455"/>
      <c r="K38" s="455"/>
      <c r="L38" s="92"/>
      <c r="M38" s="237">
        <f>IF($I$10=" &lt;&lt;&lt; Select Index &gt;&gt;&gt;","",IF(ISERROR(VLOOKUP($I$10&amp;$I$12,'Database - FI'!$B:$DC,16,FALSE))=TRUE,"†",IF(ISBLANK((VLOOKUP($I$10&amp;$I$12,'Database - FI'!$B:$DC,16,FALSE))),"",VLOOKUP($I$10&amp;$I$12,'Database - FI'!$B:$DC,16,FALSE))))</f>
        <v>0.99866101368262505</v>
      </c>
      <c r="N38" s="75"/>
      <c r="O38" s="75"/>
      <c r="P38" s="92"/>
      <c r="Q38" s="92"/>
      <c r="R38" s="92"/>
      <c r="S38" s="92"/>
      <c r="T38" s="92"/>
      <c r="U38" s="92"/>
      <c r="V38" s="92"/>
      <c r="W38" s="92"/>
      <c r="X38" s="92"/>
      <c r="Y38" s="92"/>
      <c r="Z38" s="92"/>
    </row>
    <row r="39" spans="1:27" ht="14.25" customHeight="1">
      <c r="A39" s="92"/>
      <c r="B39" s="92"/>
      <c r="C39" s="92"/>
      <c r="D39" s="92"/>
      <c r="E39" s="92"/>
      <c r="F39" s="92"/>
      <c r="G39" s="92"/>
      <c r="H39" s="92"/>
      <c r="I39" s="243"/>
      <c r="J39" s="243"/>
      <c r="K39" s="243"/>
      <c r="L39" s="92"/>
      <c r="M39" s="244"/>
      <c r="N39" s="75"/>
      <c r="O39" s="75"/>
      <c r="P39" s="92"/>
      <c r="Q39" s="92"/>
      <c r="R39" s="92"/>
      <c r="S39" s="92"/>
      <c r="T39" s="92"/>
      <c r="U39" s="92"/>
      <c r="V39" s="92"/>
      <c r="W39" s="92"/>
      <c r="X39" s="92"/>
      <c r="Y39" s="92"/>
      <c r="Z39" s="92"/>
    </row>
    <row r="40" spans="1:27" ht="31.15" customHeight="1">
      <c r="A40" s="92"/>
      <c r="B40" s="468" t="s">
        <v>193</v>
      </c>
      <c r="C40" s="468"/>
      <c r="D40" s="468"/>
      <c r="E40" s="92"/>
      <c r="F40" s="486" t="s">
        <v>199</v>
      </c>
      <c r="G40" s="487"/>
      <c r="H40" s="487"/>
      <c r="I40" s="487"/>
      <c r="J40" s="487"/>
      <c r="K40" s="488"/>
      <c r="L40" s="92"/>
      <c r="M40" s="245" t="str">
        <f>IF($I$14="Fixed Income","Not applicable/Not Sovereign Debt Index",IF($I$10=" &lt;&lt;&lt; Select Index &gt;&gt;&gt;","",IF(ISERROR(VLOOKUP($I$10&amp;$I$12,'Database - FI'!$B:$DC,42,FALSE))=TRUE,"†",IF(ISBLANK((VLOOKUP($I$10&amp;$I$12,'Database - FI'!$B:$DC,42,FALSE))),"",VLOOKUP($I$10&amp;$I$12,'Database - FI'!$B:$CN,91,FALSE)))))</f>
        <v>-</v>
      </c>
      <c r="N40" s="75"/>
      <c r="O40" s="233" t="s">
        <v>200</v>
      </c>
      <c r="P40" s="92"/>
      <c r="Q40" s="461" t="s">
        <v>201</v>
      </c>
      <c r="R40" s="462"/>
      <c r="S40" s="462"/>
      <c r="T40" s="462"/>
      <c r="U40" s="462"/>
      <c r="V40" s="462"/>
      <c r="W40" s="462"/>
      <c r="X40" s="462"/>
      <c r="Y40" s="463"/>
      <c r="Z40" s="92"/>
    </row>
    <row r="41" spans="1:27" ht="15" customHeight="1">
      <c r="A41" s="92"/>
      <c r="B41" s="92"/>
      <c r="C41" s="92"/>
      <c r="D41" s="92"/>
      <c r="E41" s="92"/>
      <c r="F41" s="92"/>
      <c r="G41" s="242"/>
      <c r="H41" s="92"/>
      <c r="I41" s="455" t="s">
        <v>194</v>
      </c>
      <c r="J41" s="455"/>
      <c r="K41" s="455"/>
      <c r="L41" s="92"/>
      <c r="M41" s="236" t="str">
        <f>IF($I$14="Fixed Income"," ",IF($I$10=" &lt;&lt;&lt; Select Index &gt;&gt;&gt;","",IF(ISERROR(VLOOKUP($I$10&amp;$I$12,'Database - FI'!$B:$DC,42,FALSE))=TRUE,"†",IF(ISBLANK((VLOOKUP($I$10&amp;$I$12,'Database - FI'!$B:$DC,42,FALSE))),"",VLOOKUP($I$10&amp;$I$12,'Database - FI'!$B:$CV,93,FALSE)))))</f>
        <v>-</v>
      </c>
      <c r="N41" s="75"/>
      <c r="O41" s="75"/>
      <c r="P41" s="92"/>
      <c r="Q41" s="92"/>
      <c r="R41" s="92"/>
      <c r="S41" s="92"/>
      <c r="T41" s="92"/>
      <c r="U41" s="92"/>
      <c r="V41" s="92"/>
      <c r="W41" s="92"/>
      <c r="X41" s="92"/>
      <c r="Y41" s="92"/>
      <c r="Z41" s="92"/>
    </row>
    <row r="42" spans="1:27" ht="14.25" customHeight="1">
      <c r="A42" s="92"/>
      <c r="B42" s="92"/>
      <c r="C42" s="92"/>
      <c r="D42" s="92"/>
      <c r="E42" s="92"/>
      <c r="F42" s="92"/>
      <c r="G42" s="92"/>
      <c r="H42" s="92"/>
      <c r="I42" s="455" t="s">
        <v>195</v>
      </c>
      <c r="J42" s="455"/>
      <c r="K42" s="455"/>
      <c r="L42" s="92"/>
      <c r="M42" s="237" t="str">
        <f>IF($I$14="Fixed Income"," ",IF($I$10=" &lt;&lt;&lt; Select Index &gt;&gt;&gt;","",IF(ISERROR(VLOOKUP($I$10&amp;$I$12,'Database - FI'!$B:$DC,42,FALSE))=TRUE,"†",IF(ISBLANK((VLOOKUP($I$10&amp;$I$12,'Database - FI'!$B:$DC,42,FALSE))),"",VLOOKUP($I$10&amp;$I$12,'Database - FI'!$B:$CV,92,FALSE)))))</f>
        <v>-</v>
      </c>
      <c r="N42" s="75"/>
      <c r="O42" s="75"/>
      <c r="P42" s="92"/>
      <c r="Q42" s="92"/>
      <c r="R42" s="92"/>
      <c r="S42" s="92"/>
      <c r="T42" s="92"/>
      <c r="U42" s="92"/>
      <c r="V42" s="92"/>
      <c r="W42" s="92"/>
      <c r="X42" s="92"/>
      <c r="Y42" s="92"/>
      <c r="Z42" s="92"/>
    </row>
    <row r="43" spans="1:27" ht="23.25" customHeight="1">
      <c r="A43" s="92"/>
      <c r="B43" s="92"/>
      <c r="C43" s="92"/>
      <c r="D43" s="92"/>
      <c r="E43" s="92"/>
      <c r="F43" s="92"/>
      <c r="G43" s="92"/>
      <c r="H43" s="92"/>
      <c r="I43" s="243"/>
      <c r="J43" s="243"/>
      <c r="K43" s="243"/>
      <c r="L43" s="92"/>
      <c r="M43" s="244"/>
      <c r="N43" s="92"/>
      <c r="O43" s="75"/>
      <c r="P43" s="92"/>
      <c r="Q43" s="92"/>
      <c r="R43" s="92"/>
      <c r="S43" s="92"/>
      <c r="T43" s="92"/>
      <c r="U43" s="92"/>
      <c r="V43" s="92"/>
      <c r="W43" s="92"/>
      <c r="X43" s="92"/>
      <c r="Y43" s="92"/>
      <c r="Z43" s="92"/>
    </row>
    <row r="44" spans="1:27" s="132" customFormat="1" ht="18.75" customHeight="1">
      <c r="A44" s="93"/>
      <c r="B44" s="246" t="s">
        <v>52</v>
      </c>
      <c r="C44" s="247"/>
      <c r="D44" s="247"/>
      <c r="E44" s="247"/>
      <c r="F44" s="247"/>
      <c r="G44" s="247"/>
      <c r="H44" s="247"/>
      <c r="I44" s="247"/>
      <c r="J44" s="247"/>
      <c r="K44" s="247"/>
      <c r="L44" s="247"/>
      <c r="M44" s="247"/>
      <c r="N44" s="247"/>
      <c r="O44" s="248"/>
      <c r="P44" s="247"/>
      <c r="Q44" s="247"/>
      <c r="R44" s="247"/>
      <c r="S44" s="247"/>
      <c r="T44" s="247"/>
      <c r="U44" s="247"/>
      <c r="V44" s="247"/>
      <c r="W44" s="247"/>
      <c r="X44" s="247"/>
      <c r="Y44" s="247"/>
      <c r="Z44" s="93"/>
      <c r="AA44" s="116"/>
    </row>
    <row r="45" spans="1:27" s="132" customFormat="1" ht="7.5" customHeight="1">
      <c r="A45" s="93"/>
      <c r="B45" s="92"/>
      <c r="C45" s="92"/>
      <c r="D45" s="92"/>
      <c r="E45" s="92"/>
      <c r="F45" s="92"/>
      <c r="G45" s="92"/>
      <c r="H45" s="92"/>
      <c r="I45" s="92"/>
      <c r="J45" s="92"/>
      <c r="K45" s="92"/>
      <c r="L45" s="92"/>
      <c r="M45" s="92"/>
      <c r="N45" s="92"/>
      <c r="O45" s="75"/>
      <c r="P45" s="92"/>
      <c r="Q45" s="92"/>
      <c r="R45" s="92"/>
      <c r="S45" s="92"/>
      <c r="T45" s="92"/>
      <c r="U45" s="92"/>
      <c r="V45" s="92"/>
      <c r="W45" s="92"/>
      <c r="X45" s="92"/>
      <c r="Y45" s="92"/>
      <c r="Z45" s="93"/>
      <c r="AA45" s="116"/>
    </row>
    <row r="46" spans="1:27" s="132" customFormat="1" ht="38.25" customHeight="1">
      <c r="A46" s="93"/>
      <c r="B46" s="355" t="s">
        <v>190</v>
      </c>
      <c r="C46" s="355"/>
      <c r="D46" s="355"/>
      <c r="E46" s="229"/>
      <c r="F46" s="484" t="s">
        <v>191</v>
      </c>
      <c r="G46" s="484"/>
      <c r="H46" s="484"/>
      <c r="I46" s="484"/>
      <c r="J46" s="484"/>
      <c r="K46" s="484"/>
      <c r="L46" s="92"/>
      <c r="M46" s="249" t="s">
        <v>192</v>
      </c>
      <c r="N46" s="92"/>
      <c r="O46" s="250" t="s">
        <v>44</v>
      </c>
      <c r="P46" s="92"/>
      <c r="Q46" s="485" t="s">
        <v>47</v>
      </c>
      <c r="R46" s="485"/>
      <c r="S46" s="485"/>
      <c r="T46" s="485"/>
      <c r="U46" s="485"/>
      <c r="V46" s="485"/>
      <c r="W46" s="485"/>
      <c r="X46" s="485"/>
      <c r="Y46" s="485"/>
      <c r="Z46" s="93"/>
    </row>
    <row r="47" spans="1:27" s="132" customFormat="1" ht="6" customHeight="1">
      <c r="A47" s="93"/>
      <c r="B47" s="92"/>
      <c r="C47" s="92"/>
      <c r="D47" s="92"/>
      <c r="E47" s="92"/>
      <c r="F47" s="92"/>
      <c r="G47" s="92"/>
      <c r="H47" s="92"/>
      <c r="I47" s="92"/>
      <c r="J47" s="92"/>
      <c r="K47" s="92"/>
      <c r="L47" s="92"/>
      <c r="M47" s="92"/>
      <c r="N47" s="92"/>
      <c r="O47" s="75"/>
      <c r="P47" s="92"/>
      <c r="Q47" s="92"/>
      <c r="R47" s="92"/>
      <c r="S47" s="92"/>
      <c r="T47" s="92"/>
      <c r="U47" s="92"/>
      <c r="V47" s="92"/>
      <c r="W47" s="92"/>
      <c r="X47" s="92"/>
      <c r="Y47" s="92"/>
      <c r="Z47" s="93"/>
    </row>
    <row r="48" spans="1:27" s="132" customFormat="1" ht="52.5" customHeight="1">
      <c r="A48" s="93"/>
      <c r="B48" s="468" t="s">
        <v>202</v>
      </c>
      <c r="C48" s="468"/>
      <c r="D48" s="468"/>
      <c r="E48" s="92"/>
      <c r="F48" s="469" t="s">
        <v>61</v>
      </c>
      <c r="G48" s="470"/>
      <c r="H48" s="470"/>
      <c r="I48" s="470"/>
      <c r="J48" s="470"/>
      <c r="K48" s="471"/>
      <c r="L48" s="66"/>
      <c r="M48" s="251" t="str">
        <f>IF($I$14="Sovereign Debt","N/A",IF($I$10=" &lt;&lt;&lt; Select Index &gt;&gt;&gt;","",IF(ISERROR(VLOOKUP($I$10&amp;$I$12,'Database - FI'!$B:$DC,63,FALSE))=TRUE,"†",IF(ISBLANK((VLOOKUP($I$10&amp;$I$12,'Database - FI'!$B:$DC,63,FALSE))),"",VLOOKUP($I$10&amp;$I$12,'Database - FI'!$B:$DC,63,FALSE)))))</f>
        <v>N/A</v>
      </c>
      <c r="N48" s="67"/>
      <c r="O48" s="239" t="s">
        <v>203</v>
      </c>
      <c r="P48" s="92"/>
      <c r="Q48" s="461" t="s">
        <v>204</v>
      </c>
      <c r="R48" s="462"/>
      <c r="S48" s="462"/>
      <c r="T48" s="462"/>
      <c r="U48" s="462"/>
      <c r="V48" s="462"/>
      <c r="W48" s="462"/>
      <c r="X48" s="462"/>
      <c r="Y48" s="463"/>
      <c r="Z48" s="93"/>
    </row>
    <row r="49" spans="1:26" s="132" customFormat="1" ht="6" customHeight="1">
      <c r="A49" s="93"/>
      <c r="B49" s="92"/>
      <c r="C49" s="92"/>
      <c r="D49" s="92"/>
      <c r="E49" s="92"/>
      <c r="F49" s="92"/>
      <c r="G49" s="92"/>
      <c r="H49" s="92"/>
      <c r="I49" s="92"/>
      <c r="J49" s="92"/>
      <c r="K49" s="92"/>
      <c r="L49" s="92"/>
      <c r="M49" s="92"/>
      <c r="N49" s="92"/>
      <c r="O49" s="235"/>
      <c r="P49" s="92"/>
      <c r="Q49" s="92"/>
      <c r="R49" s="92"/>
      <c r="S49" s="92"/>
      <c r="T49" s="92"/>
      <c r="U49" s="92"/>
      <c r="V49" s="92"/>
      <c r="W49" s="92"/>
      <c r="X49" s="92"/>
      <c r="Y49" s="92"/>
      <c r="Z49" s="93"/>
    </row>
    <row r="50" spans="1:26" s="132" customFormat="1" ht="15" customHeight="1">
      <c r="A50" s="93"/>
      <c r="B50" s="92"/>
      <c r="C50" s="92"/>
      <c r="D50" s="92"/>
      <c r="E50" s="92"/>
      <c r="F50" s="92"/>
      <c r="G50" s="92"/>
      <c r="H50" s="92"/>
      <c r="I50" s="455" t="s">
        <v>194</v>
      </c>
      <c r="J50" s="455"/>
      <c r="K50" s="455"/>
      <c r="L50" s="92"/>
      <c r="M50" s="236" t="str">
        <f>IF($I$14="Sovereign Debt","",IF($I$10=" &lt;&lt;&lt; Select Index &gt;&gt;&gt;","",IF(ISERROR(VLOOKUP($I$10&amp;$I$12,'Database - FI'!$B:$DC,65,FALSE))=TRUE,"†",IF(ISBLANK((VLOOKUP($I$10&amp;$I$12,'Database - FI'!$B:$DC,65,FALSE))),"",VLOOKUP($I$10&amp;$I$12,'Database - FI'!$B:$DC,65,FALSE)))))</f>
        <v/>
      </c>
      <c r="N50" s="92"/>
      <c r="O50" s="235"/>
      <c r="P50" s="92"/>
      <c r="Q50" s="92"/>
      <c r="R50" s="92"/>
      <c r="S50" s="92"/>
      <c r="T50" s="92"/>
      <c r="U50" s="92"/>
      <c r="V50" s="92"/>
      <c r="W50" s="92"/>
      <c r="X50" s="92"/>
      <c r="Y50" s="92"/>
      <c r="Z50" s="93"/>
    </row>
    <row r="51" spans="1:26" s="132" customFormat="1" ht="15" customHeight="1">
      <c r="A51" s="93"/>
      <c r="B51" s="92"/>
      <c r="C51" s="92"/>
      <c r="D51" s="92"/>
      <c r="E51" s="92"/>
      <c r="F51" s="92"/>
      <c r="G51" s="92"/>
      <c r="H51" s="92"/>
      <c r="I51" s="455" t="s">
        <v>195</v>
      </c>
      <c r="J51" s="455"/>
      <c r="K51" s="455"/>
      <c r="L51" s="92"/>
      <c r="M51" s="237" t="str">
        <f>IF($I$14="Sovereign Debt","",IF($I$10=" &lt;&lt;&lt; Select Index &gt;&gt;&gt;","",IF(ISERROR(VLOOKUP($I$10&amp;$I$12,'Database - FI'!$B:$DC,64,FALSE))=TRUE,"†",IF(ISBLANK((VLOOKUP($I$10&amp;$I$12,'Database - FI'!$B:$DC,64,FALSE))),"",VLOOKUP($I$10&amp;$I$12,'Database - FI'!$B:$DC,64,FALSE)))))</f>
        <v/>
      </c>
      <c r="N51" s="92"/>
      <c r="O51" s="235"/>
      <c r="P51" s="92"/>
      <c r="Q51" s="92"/>
      <c r="R51" s="92"/>
      <c r="S51" s="92"/>
      <c r="T51" s="92"/>
      <c r="U51" s="92"/>
      <c r="V51" s="92"/>
      <c r="W51" s="92"/>
      <c r="X51" s="92"/>
      <c r="Y51" s="92"/>
      <c r="Z51" s="93"/>
    </row>
    <row r="52" spans="1:26" s="132" customFormat="1" ht="17.25" customHeight="1">
      <c r="A52" s="93"/>
      <c r="B52" s="92"/>
      <c r="C52" s="92"/>
      <c r="D52" s="92"/>
      <c r="E52" s="92"/>
      <c r="F52" s="92"/>
      <c r="G52" s="92"/>
      <c r="H52" s="92"/>
      <c r="I52" s="92"/>
      <c r="J52" s="92"/>
      <c r="K52" s="92"/>
      <c r="L52" s="92"/>
      <c r="M52" s="92"/>
      <c r="N52" s="92"/>
      <c r="O52" s="235"/>
      <c r="P52" s="92"/>
      <c r="Q52" s="92"/>
      <c r="R52" s="92"/>
      <c r="S52" s="92"/>
      <c r="T52" s="92"/>
      <c r="U52" s="92"/>
      <c r="V52" s="92"/>
      <c r="W52" s="92"/>
      <c r="X52" s="92"/>
      <c r="Y52" s="92"/>
      <c r="Z52" s="93"/>
    </row>
    <row r="53" spans="1:26" s="132" customFormat="1" ht="36" customHeight="1">
      <c r="A53" s="93"/>
      <c r="B53" s="468" t="s">
        <v>202</v>
      </c>
      <c r="C53" s="468"/>
      <c r="D53" s="468"/>
      <c r="E53" s="92"/>
      <c r="F53" s="458" t="s">
        <v>66</v>
      </c>
      <c r="G53" s="459"/>
      <c r="H53" s="459"/>
      <c r="I53" s="459"/>
      <c r="J53" s="459"/>
      <c r="K53" s="460"/>
      <c r="L53" s="66"/>
      <c r="M53" s="232" t="str">
        <f>IF($I$14="Sovereign Debt","N/A",IF($I$10=" &lt;&lt;&lt; Select Index &gt;&gt;&gt;","",IF(ISERROR(VLOOKUP($I$10&amp;$I$12,'Database - FI'!$B:$DC,66,FALSE))=TRUE,"†",IF(ISBLANK((VLOOKUP($I$10&amp;$I$12,'Database - FI'!$B:$DC,66,FALSE))),"",VLOOKUP($I$10&amp;$I$12,'Database - FI'!$B:$DC,66,FALSE)))))</f>
        <v>N/A</v>
      </c>
      <c r="N53" s="67"/>
      <c r="O53" s="239" t="s">
        <v>205</v>
      </c>
      <c r="P53" s="92"/>
      <c r="Q53" s="461" t="str">
        <f>IF(W19="MSCI",[2]REF!AW5,[2]REF!AW4)</f>
        <v>The metric tons of scope 1, 2, and 3 greenhouse gas emissions (tCO2e) per USD 1 million of revenue, using company revenue as the apportionment factor.</v>
      </c>
      <c r="R53" s="462"/>
      <c r="S53" s="462"/>
      <c r="T53" s="462"/>
      <c r="U53" s="462"/>
      <c r="V53" s="462"/>
      <c r="W53" s="462"/>
      <c r="X53" s="462"/>
      <c r="Y53" s="463"/>
      <c r="Z53" s="93"/>
    </row>
    <row r="54" spans="1:26" s="132" customFormat="1" ht="6" customHeight="1">
      <c r="A54" s="93"/>
      <c r="B54" s="92"/>
      <c r="C54" s="92"/>
      <c r="D54" s="92"/>
      <c r="E54" s="92"/>
      <c r="F54" s="238"/>
      <c r="G54" s="238"/>
      <c r="H54" s="238"/>
      <c r="I54" s="66"/>
      <c r="J54" s="66"/>
      <c r="K54" s="66"/>
      <c r="L54" s="67"/>
      <c r="M54" s="67"/>
      <c r="N54" s="67"/>
      <c r="O54" s="235"/>
      <c r="P54" s="92"/>
      <c r="Q54" s="92"/>
      <c r="R54" s="92"/>
      <c r="S54" s="92"/>
      <c r="T54" s="92"/>
      <c r="U54" s="92"/>
      <c r="V54" s="92"/>
      <c r="W54" s="92"/>
      <c r="X54" s="92"/>
      <c r="Y54" s="92"/>
      <c r="Z54" s="93"/>
    </row>
    <row r="55" spans="1:26" s="132" customFormat="1" ht="17.25" customHeight="1">
      <c r="A55" s="93"/>
      <c r="B55" s="472" t="s">
        <v>202</v>
      </c>
      <c r="C55" s="472"/>
      <c r="D55" s="472"/>
      <c r="E55" s="92"/>
      <c r="F55" s="475" t="s">
        <v>206</v>
      </c>
      <c r="G55" s="476"/>
      <c r="H55" s="476"/>
      <c r="I55" s="476"/>
      <c r="J55" s="476"/>
      <c r="K55" s="477"/>
      <c r="L55" s="67"/>
      <c r="M55" s="251" t="str">
        <f>IF($I$14="Sovereign Debt","N/A",IF($I$10=" &lt;&lt;&lt; Select Index &gt;&gt;&gt;","",IF(ISERROR(VLOOKUP($I$10&amp;$I$12,'Database - FI'!$B:$DC,69,FALSE))=TRUE,"†",IF(ISBLANK((VLOOKUP($I$10&amp;$I$12,'Database - FI'!$B:$DC,69,FALSE))),"",VLOOKUP($I$10&amp;$I$12,'Database - FI'!$B:$DC,69,FALSE)))))</f>
        <v>N/A</v>
      </c>
      <c r="N55" s="67"/>
      <c r="O55" s="252" t="s">
        <v>207</v>
      </c>
      <c r="P55" s="92"/>
      <c r="Q55" s="461" t="s">
        <v>208</v>
      </c>
      <c r="R55" s="462"/>
      <c r="S55" s="462"/>
      <c r="T55" s="462"/>
      <c r="U55" s="462"/>
      <c r="V55" s="462"/>
      <c r="W55" s="462"/>
      <c r="X55" s="462"/>
      <c r="Y55" s="463"/>
      <c r="Z55" s="93"/>
    </row>
    <row r="56" spans="1:26" s="132" customFormat="1" ht="17.25" customHeight="1">
      <c r="A56" s="93"/>
      <c r="B56" s="473"/>
      <c r="C56" s="473"/>
      <c r="D56" s="473"/>
      <c r="E56" s="92"/>
      <c r="F56" s="478"/>
      <c r="G56" s="479"/>
      <c r="H56" s="479"/>
      <c r="I56" s="479"/>
      <c r="J56" s="479"/>
      <c r="K56" s="480"/>
      <c r="L56" s="67"/>
      <c r="M56" s="251" t="str">
        <f>IF($I$14="Sovereign Debt","N/A",IF($I$10=" &lt;&lt;&lt; Select Index &gt;&gt;&gt;","",IF(ISERROR(VLOOKUP($I$10&amp;$I$12,'Database - FI'!$B:$DC,67,FALSE))=TRUE,"†",IF(ISBLANK((VLOOKUP($I$10&amp;$I$12,'Database - FI'!$B:$DC,67,FALSE))),"",VLOOKUP($I$10&amp;$I$12,'Database - FI'!$B:$DC,67,FALSE)-M55))))</f>
        <v>N/A</v>
      </c>
      <c r="N56" s="67"/>
      <c r="O56" s="252" t="s">
        <v>209</v>
      </c>
      <c r="P56" s="92"/>
      <c r="Q56" s="461" t="s">
        <v>210</v>
      </c>
      <c r="R56" s="462"/>
      <c r="S56" s="462"/>
      <c r="T56" s="462"/>
      <c r="U56" s="462"/>
      <c r="V56" s="462"/>
      <c r="W56" s="462"/>
      <c r="X56" s="462"/>
      <c r="Y56" s="463"/>
      <c r="Z56" s="93"/>
    </row>
    <row r="57" spans="1:26" s="132" customFormat="1" ht="31.5" customHeight="1">
      <c r="A57" s="93"/>
      <c r="B57" s="474"/>
      <c r="C57" s="474"/>
      <c r="D57" s="474"/>
      <c r="E57" s="92"/>
      <c r="F57" s="481"/>
      <c r="G57" s="482"/>
      <c r="H57" s="482"/>
      <c r="I57" s="482"/>
      <c r="J57" s="482"/>
      <c r="K57" s="483"/>
      <c r="L57" s="67"/>
      <c r="M57" s="251" t="str">
        <f>IF($I$14="Sovereign Debt","N/A",IF($I$10=" &lt;&lt;&lt; Select Index &gt;&gt;&gt;","",1-M55-M56))</f>
        <v>N/A</v>
      </c>
      <c r="N57" s="67"/>
      <c r="O57" s="253" t="s">
        <v>211</v>
      </c>
      <c r="P57" s="92"/>
      <c r="Q57" s="461" t="s">
        <v>212</v>
      </c>
      <c r="R57" s="462"/>
      <c r="S57" s="462"/>
      <c r="T57" s="462"/>
      <c r="U57" s="462"/>
      <c r="V57" s="462"/>
      <c r="W57" s="462"/>
      <c r="X57" s="462"/>
      <c r="Y57" s="463"/>
      <c r="Z57" s="93"/>
    </row>
    <row r="58" spans="1:26" s="132" customFormat="1" ht="6" customHeight="1">
      <c r="A58" s="75"/>
      <c r="B58" s="75"/>
      <c r="C58" s="75"/>
      <c r="D58" s="75"/>
      <c r="E58" s="75"/>
      <c r="F58" s="75"/>
      <c r="G58" s="75"/>
      <c r="H58" s="75"/>
      <c r="I58" s="75"/>
      <c r="J58" s="75"/>
      <c r="K58" s="75"/>
      <c r="L58" s="75"/>
      <c r="M58" s="75"/>
      <c r="N58" s="75"/>
      <c r="O58" s="235"/>
      <c r="P58" s="75"/>
      <c r="Q58" s="75"/>
      <c r="R58" s="75"/>
      <c r="S58" s="75"/>
      <c r="T58" s="75"/>
      <c r="U58" s="75"/>
      <c r="V58" s="75"/>
      <c r="W58" s="75"/>
      <c r="X58" s="75"/>
      <c r="Y58" s="75"/>
      <c r="Z58" s="93"/>
    </row>
    <row r="59" spans="1:26" s="132" customFormat="1" ht="15" customHeight="1">
      <c r="A59" s="75"/>
      <c r="B59" s="75"/>
      <c r="C59" s="75"/>
      <c r="D59" s="75"/>
      <c r="E59" s="75"/>
      <c r="F59" s="75"/>
      <c r="G59" s="75"/>
      <c r="H59" s="75"/>
      <c r="I59" s="455" t="s">
        <v>194</v>
      </c>
      <c r="J59" s="455"/>
      <c r="K59" s="455"/>
      <c r="L59" s="92"/>
      <c r="M59" s="236" t="str">
        <f>IF($I$14="Sovereign Debt","",IF($I$10=" &lt;&lt;&lt; Select Index &gt;&gt;&gt;","",IF(ISERROR(VLOOKUP($I$10&amp;$I$12,'Database - FI'!$B:$DC,68,FALSE))=TRUE,"†",IF(ISBLANK((VLOOKUP($I$10&amp;$I$12,'Database - FI'!$B:$DC,68,FALSE))),"",VLOOKUP($I$10&amp;$I$12,'Database - FI'!$B:$DC,68,FALSE)))))</f>
        <v/>
      </c>
      <c r="N59" s="75"/>
      <c r="O59" s="235"/>
      <c r="P59" s="75"/>
      <c r="Q59" s="75"/>
      <c r="R59" s="75"/>
      <c r="S59" s="75"/>
      <c r="T59" s="75"/>
      <c r="U59" s="75"/>
      <c r="V59" s="75"/>
      <c r="W59" s="75"/>
      <c r="X59" s="75"/>
      <c r="Y59" s="75"/>
      <c r="Z59" s="93"/>
    </row>
    <row r="60" spans="1:26" s="132" customFormat="1" ht="15" customHeight="1">
      <c r="A60" s="75"/>
      <c r="B60" s="75"/>
      <c r="C60" s="75"/>
      <c r="D60" s="75"/>
      <c r="E60" s="75"/>
      <c r="F60" s="75"/>
      <c r="G60" s="75"/>
      <c r="H60" s="75"/>
      <c r="I60" s="455" t="s">
        <v>195</v>
      </c>
      <c r="J60" s="455"/>
      <c r="K60" s="455"/>
      <c r="L60" s="92"/>
      <c r="M60" s="237" t="str">
        <f>IF($I$14="Sovereign Debt","",IF($I$10=" &lt;&lt;&lt; Select Index &gt;&gt;&gt;","",IF(ISERROR(VLOOKUP($I$10&amp;$I$12,'Database - FI'!$B:$DC,67,FALSE))=TRUE,"†",IF(ISBLANK((VLOOKUP($I$10&amp;$I$12,'Database - FI'!$B:$DC,67,FALSE))),"",VLOOKUP($I$10&amp;$I$12,'Database - FI'!$B:$DC,67,FALSE)))))</f>
        <v/>
      </c>
      <c r="N60" s="75"/>
      <c r="O60" s="235"/>
      <c r="P60" s="75"/>
      <c r="Q60" s="75"/>
      <c r="R60" s="75"/>
      <c r="S60" s="75"/>
      <c r="T60" s="75"/>
      <c r="U60" s="75"/>
      <c r="V60" s="75"/>
      <c r="W60" s="75"/>
      <c r="X60" s="75"/>
      <c r="Y60" s="75"/>
      <c r="Z60" s="93"/>
    </row>
    <row r="61" spans="1:26" s="132" customFormat="1" ht="18" customHeight="1">
      <c r="A61" s="93"/>
      <c r="B61" s="254"/>
      <c r="C61" s="254"/>
      <c r="D61" s="254"/>
      <c r="E61" s="92"/>
      <c r="F61" s="255"/>
      <c r="G61" s="255"/>
      <c r="H61" s="255"/>
      <c r="I61" s="255"/>
      <c r="J61" s="255"/>
      <c r="K61" s="255"/>
      <c r="L61" s="67"/>
      <c r="M61" s="256"/>
      <c r="N61" s="67"/>
      <c r="O61" s="257"/>
      <c r="P61" s="92"/>
      <c r="Q61" s="258"/>
      <c r="R61" s="258"/>
      <c r="S61" s="258"/>
      <c r="T61" s="258"/>
      <c r="U61" s="258"/>
      <c r="V61" s="258"/>
      <c r="W61" s="258"/>
      <c r="X61" s="258"/>
      <c r="Y61" s="258"/>
      <c r="Z61" s="93"/>
    </row>
    <row r="62" spans="1:26" s="132" customFormat="1" ht="36" customHeight="1">
      <c r="A62" s="93"/>
      <c r="B62" s="468" t="s">
        <v>202</v>
      </c>
      <c r="C62" s="468"/>
      <c r="D62" s="468"/>
      <c r="E62" s="92"/>
      <c r="F62" s="458" t="s">
        <v>81</v>
      </c>
      <c r="G62" s="459"/>
      <c r="H62" s="459"/>
      <c r="I62" s="459"/>
      <c r="J62" s="459"/>
      <c r="K62" s="460"/>
      <c r="L62" s="66"/>
      <c r="M62" s="251" t="str">
        <f>IF($I$14="Sovereign Debt","N/A",IF($I$10=" &lt;&lt;&lt; Select Index &gt;&gt;&gt;","",IF(ISERROR(VLOOKUP($I$10&amp;$I$12,'Database - FI'!$B:$DC,70,FALSE))=TRUE,"†",IF(ISBLANK((VLOOKUP($I$10&amp;$I$12,'Database - FI'!$B:$DC,70,FALSE))),"",VLOOKUP($I$10&amp;$I$12,'Database - FI'!$B:$DC,70,FALSE)))))</f>
        <v>N/A</v>
      </c>
      <c r="N62" s="67"/>
      <c r="O62" s="259" t="s">
        <v>213</v>
      </c>
      <c r="P62" s="92"/>
      <c r="Q62" s="461" t="s">
        <v>214</v>
      </c>
      <c r="R62" s="462"/>
      <c r="S62" s="462"/>
      <c r="T62" s="462"/>
      <c r="U62" s="462"/>
      <c r="V62" s="462"/>
      <c r="W62" s="462"/>
      <c r="X62" s="462"/>
      <c r="Y62" s="463"/>
      <c r="Z62" s="93"/>
    </row>
    <row r="63" spans="1:26" s="132" customFormat="1" ht="6.75" customHeight="1">
      <c r="A63" s="93"/>
      <c r="B63" s="92"/>
      <c r="C63" s="92"/>
      <c r="D63" s="92"/>
      <c r="E63" s="92"/>
      <c r="F63" s="92"/>
      <c r="G63" s="92"/>
      <c r="H63" s="92"/>
      <c r="I63" s="92"/>
      <c r="J63" s="92"/>
      <c r="K63" s="92"/>
      <c r="L63" s="92"/>
      <c r="M63" s="92"/>
      <c r="N63" s="92"/>
      <c r="O63" s="75"/>
      <c r="P63" s="92"/>
      <c r="Q63" s="92"/>
      <c r="R63" s="92"/>
      <c r="S63" s="92"/>
      <c r="T63" s="92"/>
      <c r="U63" s="92"/>
      <c r="V63" s="92"/>
      <c r="W63" s="92"/>
      <c r="X63" s="92"/>
      <c r="Y63" s="92"/>
      <c r="Z63" s="93"/>
    </row>
    <row r="64" spans="1:26" s="132" customFormat="1" ht="15" customHeight="1">
      <c r="A64" s="93"/>
      <c r="B64" s="92"/>
      <c r="C64" s="92"/>
      <c r="D64" s="92"/>
      <c r="E64" s="92"/>
      <c r="F64" s="92"/>
      <c r="G64" s="92"/>
      <c r="H64" s="92"/>
      <c r="I64" s="455" t="s">
        <v>194</v>
      </c>
      <c r="J64" s="455"/>
      <c r="K64" s="455"/>
      <c r="L64" s="92"/>
      <c r="M64" s="236" t="str">
        <f>IF($I$14="Sovereign Debt","",IF($I$10=" &lt;&lt;&lt; Select Index &gt;&gt;&gt;","",IF(ISERROR(VLOOKUP($I$10&amp;$I$12,'Database - FI'!$B:$DC,72,FALSE))=TRUE,"†",IF(ISBLANK((VLOOKUP($I$10&amp;$I$12,'Database - FI'!$B:$DC,72,FALSE))),"",VLOOKUP($I$10&amp;$I$12,'Database - FI'!$B:$DC,72,FALSE)))))</f>
        <v/>
      </c>
      <c r="N64" s="92"/>
      <c r="O64" s="75"/>
      <c r="P64" s="92"/>
      <c r="Q64" s="92"/>
      <c r="R64" s="92"/>
      <c r="S64" s="92"/>
      <c r="T64" s="92"/>
      <c r="U64" s="92"/>
      <c r="V64" s="92"/>
      <c r="W64" s="92"/>
      <c r="X64" s="92"/>
      <c r="Y64" s="92"/>
      <c r="Z64" s="93"/>
    </row>
    <row r="65" spans="1:27" s="132" customFormat="1" ht="15" customHeight="1">
      <c r="A65" s="93"/>
      <c r="B65" s="92"/>
      <c r="C65" s="92"/>
      <c r="D65" s="92"/>
      <c r="E65" s="92"/>
      <c r="F65" s="92"/>
      <c r="G65" s="92"/>
      <c r="H65" s="92"/>
      <c r="I65" s="455" t="s">
        <v>195</v>
      </c>
      <c r="J65" s="455"/>
      <c r="K65" s="455"/>
      <c r="L65" s="92"/>
      <c r="M65" s="237" t="str">
        <f>IF($I$14="Sovereign Debt","",IF($I$10=" &lt;&lt;&lt; Select Index &gt;&gt;&gt;","",IF(ISERROR(VLOOKUP($I$10&amp;$I$12,'Database - FI'!$B:$DC,71,FALSE))=TRUE,"†",IF(ISBLANK((VLOOKUP($I$10&amp;$I$12,'Database - FI'!$B:$DC,71,FALSE))),"",VLOOKUP($I$10&amp;$I$12,'Database - FI'!$B:$DC,71,FALSE)))))</f>
        <v/>
      </c>
      <c r="N65" s="92"/>
      <c r="O65" s="75"/>
      <c r="P65" s="92"/>
      <c r="Q65" s="92"/>
      <c r="R65" s="92"/>
      <c r="S65" s="92"/>
      <c r="T65" s="92"/>
      <c r="U65" s="92"/>
      <c r="V65" s="92"/>
      <c r="W65" s="92"/>
      <c r="X65" s="92"/>
      <c r="Y65" s="92"/>
      <c r="Z65" s="93"/>
    </row>
    <row r="66" spans="1:27" s="132" customFormat="1" ht="18" customHeight="1">
      <c r="A66" s="93"/>
      <c r="B66" s="92"/>
      <c r="C66" s="92"/>
      <c r="D66" s="92"/>
      <c r="E66" s="92"/>
      <c r="F66" s="92"/>
      <c r="G66" s="92"/>
      <c r="H66" s="92"/>
      <c r="I66" s="243"/>
      <c r="J66" s="243"/>
      <c r="K66" s="243"/>
      <c r="L66" s="92"/>
      <c r="M66" s="237"/>
      <c r="N66" s="92"/>
      <c r="O66" s="75"/>
      <c r="P66" s="92"/>
      <c r="Q66" s="92"/>
      <c r="R66" s="92"/>
      <c r="S66" s="92"/>
      <c r="T66" s="92"/>
      <c r="U66" s="92"/>
      <c r="V66" s="92"/>
      <c r="W66" s="92"/>
      <c r="X66" s="92"/>
      <c r="Y66" s="92"/>
      <c r="Z66" s="93"/>
    </row>
    <row r="67" spans="1:27" s="132" customFormat="1" ht="36" customHeight="1">
      <c r="A67" s="93"/>
      <c r="B67" s="468" t="s">
        <v>202</v>
      </c>
      <c r="C67" s="468"/>
      <c r="D67" s="468"/>
      <c r="E67" s="92"/>
      <c r="F67" s="458" t="s">
        <v>215</v>
      </c>
      <c r="G67" s="459"/>
      <c r="H67" s="459"/>
      <c r="I67" s="459"/>
      <c r="J67" s="459"/>
      <c r="K67" s="460"/>
      <c r="L67" s="66"/>
      <c r="M67" s="251" t="str">
        <f>IF($I$14="Sovereign Debt","N/A",IF($I$10=" &lt;&lt;&lt; Select Index &gt;&gt;&gt;","",IF(ISERROR(VLOOKUP($I$10&amp;$I$12,'Database - FI'!$B:$DC,73,FALSE))=TRUE,"†",IF(ISBLANK((VLOOKUP($I$10&amp;$I$12,'Database - FI'!$B:$DC,73,FALSE))),"",VLOOKUP($I$10&amp;$I$12,'Database - FI'!$B:$DC,73,FALSE)))))</f>
        <v>N/A</v>
      </c>
      <c r="N67" s="67"/>
      <c r="O67" s="239" t="s">
        <v>216</v>
      </c>
      <c r="P67" s="92"/>
      <c r="Q67" s="461" t="s">
        <v>217</v>
      </c>
      <c r="R67" s="462"/>
      <c r="S67" s="462"/>
      <c r="T67" s="462"/>
      <c r="U67" s="462"/>
      <c r="V67" s="462"/>
      <c r="W67" s="462"/>
      <c r="X67" s="462"/>
      <c r="Y67" s="463"/>
      <c r="Z67" s="93"/>
    </row>
    <row r="68" spans="1:27" s="132" customFormat="1" ht="6" customHeight="1">
      <c r="A68" s="93"/>
      <c r="B68" s="92"/>
      <c r="C68" s="92"/>
      <c r="D68" s="92"/>
      <c r="E68" s="92"/>
      <c r="F68" s="92"/>
      <c r="G68" s="92"/>
      <c r="H68" s="92"/>
      <c r="I68" s="92"/>
      <c r="J68" s="92"/>
      <c r="K68" s="92"/>
      <c r="L68" s="92"/>
      <c r="M68" s="92"/>
      <c r="N68" s="92"/>
      <c r="O68" s="235"/>
      <c r="P68" s="92"/>
      <c r="Q68" s="92"/>
      <c r="R68" s="92"/>
      <c r="S68" s="92"/>
      <c r="T68" s="92"/>
      <c r="U68" s="92"/>
      <c r="V68" s="92"/>
      <c r="W68" s="92"/>
      <c r="X68" s="92"/>
      <c r="Y68" s="92"/>
      <c r="Z68" s="93"/>
    </row>
    <row r="69" spans="1:27" s="132" customFormat="1" ht="15" customHeight="1">
      <c r="A69" s="93"/>
      <c r="B69" s="92"/>
      <c r="C69" s="92"/>
      <c r="D69" s="92"/>
      <c r="E69" s="92"/>
      <c r="F69" s="92"/>
      <c r="G69" s="92"/>
      <c r="H69" s="92"/>
      <c r="I69" s="455" t="s">
        <v>194</v>
      </c>
      <c r="J69" s="455"/>
      <c r="K69" s="455"/>
      <c r="L69" s="92"/>
      <c r="M69" s="236" t="str">
        <f>IF($I$14="Sovereign Debt","",IF($I$10=" &lt;&lt;&lt; Select Index &gt;&gt;&gt;","",IF(ISERROR(VLOOKUP($I$10&amp;$I$12,'Database - FI'!$B:$DC,75,FALSE))=TRUE,"†",IF(ISBLANK((VLOOKUP($I$10&amp;$I$12,'Database - FI'!$B:$DC,75,FALSE))),"",VLOOKUP($I$10&amp;$I$12,'Database - FI'!$B:$DC,75,FALSE)))))</f>
        <v/>
      </c>
      <c r="N69" s="92"/>
      <c r="O69" s="235"/>
      <c r="P69" s="92"/>
      <c r="Q69" s="92"/>
      <c r="R69" s="92"/>
      <c r="S69" s="92"/>
      <c r="T69" s="92"/>
      <c r="U69" s="92"/>
      <c r="V69" s="92"/>
      <c r="W69" s="92"/>
      <c r="X69" s="92"/>
      <c r="Y69" s="92"/>
      <c r="Z69" s="93"/>
    </row>
    <row r="70" spans="1:27" s="132" customFormat="1" ht="15" customHeight="1">
      <c r="A70" s="93"/>
      <c r="B70" s="92"/>
      <c r="C70" s="92"/>
      <c r="D70" s="92"/>
      <c r="E70" s="92"/>
      <c r="F70" s="92"/>
      <c r="G70" s="92"/>
      <c r="H70" s="92"/>
      <c r="I70" s="455" t="s">
        <v>195</v>
      </c>
      <c r="J70" s="455"/>
      <c r="K70" s="455"/>
      <c r="L70" s="92"/>
      <c r="M70" s="237" t="str">
        <f>IF($I$14="Sovereign Debt","",IF($I$10=" &lt;&lt;&lt; Select Index &gt;&gt;&gt;","",IF(ISERROR(VLOOKUP($I$10&amp;$I$12,'Database - FI'!$B:$DC,74,FALSE))=TRUE,"†",IF(ISBLANK((VLOOKUP($I$10&amp;$I$12,'Database - FI'!$B:$DC,74,FALSE))),"",VLOOKUP($I$10&amp;$I$12,'Database - FI'!$B:$DC,74,FALSE)))))</f>
        <v/>
      </c>
      <c r="N70" s="92"/>
      <c r="O70" s="235"/>
      <c r="P70" s="92"/>
      <c r="Q70" s="92"/>
      <c r="R70" s="92"/>
      <c r="S70" s="92"/>
      <c r="T70" s="92"/>
      <c r="U70" s="92"/>
      <c r="V70" s="92"/>
      <c r="W70" s="92"/>
      <c r="X70" s="92"/>
      <c r="Y70" s="92"/>
      <c r="Z70" s="93"/>
      <c r="AA70" s="116"/>
    </row>
    <row r="71" spans="1:27" s="132" customFormat="1" ht="18" customHeight="1">
      <c r="A71" s="93"/>
      <c r="B71" s="92"/>
      <c r="C71" s="92"/>
      <c r="D71" s="92"/>
      <c r="E71" s="92"/>
      <c r="F71" s="92"/>
      <c r="G71" s="92"/>
      <c r="H71" s="92"/>
      <c r="I71" s="243"/>
      <c r="J71" s="243"/>
      <c r="K71" s="243"/>
      <c r="L71" s="92"/>
      <c r="M71" s="244"/>
      <c r="N71" s="92"/>
      <c r="O71" s="235"/>
      <c r="P71" s="92"/>
      <c r="Q71" s="92"/>
      <c r="R71" s="92"/>
      <c r="S71" s="92"/>
      <c r="T71" s="92"/>
      <c r="U71" s="92"/>
      <c r="V71" s="92"/>
      <c r="W71" s="92"/>
      <c r="X71" s="92"/>
      <c r="Y71" s="92"/>
      <c r="Z71" s="93"/>
      <c r="AA71" s="116"/>
    </row>
    <row r="72" spans="1:27" s="132" customFormat="1" ht="42.6" customHeight="1">
      <c r="A72" s="93"/>
      <c r="B72" s="457" t="s">
        <v>218</v>
      </c>
      <c r="C72" s="457"/>
      <c r="D72" s="457"/>
      <c r="E72" s="92"/>
      <c r="F72" s="458" t="s">
        <v>66</v>
      </c>
      <c r="G72" s="459"/>
      <c r="H72" s="459"/>
      <c r="I72" s="459"/>
      <c r="J72" s="459"/>
      <c r="K72" s="460"/>
      <c r="L72" s="66"/>
      <c r="M72" s="260">
        <f>IF($I$14="Fixed Income","Not applicable/Not Sovereign Debt Index",IF($I$10=" &lt;&lt;&lt; Select Index &gt;&gt;&gt;","",IF(ISERROR(VLOOKUP($I$10&amp;$I$12,'Database - FI'!$B:$DC,42,FALSE))=TRUE,"†",IF(ISBLANK((VLOOKUP($I$10&amp;$I$12,'Database - FI'!$B:$DC,42,FALSE))),"",VLOOKUP($I$10&amp;$I$12,'Database - FI'!$B:$DC,42,FALSE)))))</f>
        <v>164.15309716226901</v>
      </c>
      <c r="N72" s="67"/>
      <c r="O72" s="239" t="s">
        <v>219</v>
      </c>
      <c r="P72" s="92"/>
      <c r="Q72" s="461" t="str">
        <f>IF(W19="MSCI",[2]REF!BC5,[2]REF!BC4)</f>
        <v>The metric tons of greenhouse gas emissions (tCO2e) apportioned to the index per EUR 1 million invested using Gross Domestic Product (GDP) as the apportionment factor.</v>
      </c>
      <c r="R72" s="462"/>
      <c r="S72" s="462"/>
      <c r="T72" s="462"/>
      <c r="U72" s="462"/>
      <c r="V72" s="462"/>
      <c r="W72" s="462"/>
      <c r="X72" s="462"/>
      <c r="Y72" s="463"/>
      <c r="Z72" s="93"/>
      <c r="AA72" s="116"/>
    </row>
    <row r="73" spans="1:27" s="132" customFormat="1" ht="6" customHeight="1">
      <c r="A73" s="93"/>
      <c r="B73" s="92"/>
      <c r="C73" s="92"/>
      <c r="D73" s="92"/>
      <c r="E73" s="92"/>
      <c r="F73" s="238"/>
      <c r="G73" s="238"/>
      <c r="H73" s="238"/>
      <c r="I73" s="66"/>
      <c r="J73" s="66"/>
      <c r="K73" s="66"/>
      <c r="L73" s="67"/>
      <c r="M73" s="67"/>
      <c r="N73" s="67"/>
      <c r="O73" s="235"/>
      <c r="P73" s="92"/>
      <c r="Q73" s="92"/>
      <c r="R73" s="92"/>
      <c r="S73" s="92"/>
      <c r="T73" s="92"/>
      <c r="U73" s="92"/>
      <c r="V73" s="92"/>
      <c r="W73" s="92"/>
      <c r="X73" s="92"/>
      <c r="Y73" s="92"/>
      <c r="Z73" s="93"/>
      <c r="AA73" s="116"/>
    </row>
    <row r="74" spans="1:27" s="132" customFormat="1" ht="23.25" hidden="1" customHeight="1">
      <c r="A74" s="93"/>
      <c r="B74" s="464" t="s">
        <v>218</v>
      </c>
      <c r="C74" s="464"/>
      <c r="D74" s="464"/>
      <c r="E74" s="92"/>
      <c r="F74" s="465" t="s">
        <v>206</v>
      </c>
      <c r="G74" s="466"/>
      <c r="H74" s="466"/>
      <c r="I74" s="466"/>
      <c r="J74" s="466"/>
      <c r="K74" s="467"/>
      <c r="L74" s="67"/>
      <c r="M74" s="251">
        <f>IF($I$14="Fixed Income","",IF($I$10=" &lt;&lt;&lt; Select Index &gt;&gt;&gt;","",0))</f>
        <v>0</v>
      </c>
      <c r="N74" s="67"/>
      <c r="O74" s="239" t="s">
        <v>207</v>
      </c>
      <c r="P74" s="92"/>
      <c r="Q74" s="461" t="s">
        <v>220</v>
      </c>
      <c r="R74" s="462"/>
      <c r="S74" s="462"/>
      <c r="T74" s="462"/>
      <c r="U74" s="462"/>
      <c r="V74" s="462"/>
      <c r="W74" s="462"/>
      <c r="X74" s="462"/>
      <c r="Y74" s="463"/>
      <c r="Z74" s="93"/>
      <c r="AA74" s="116"/>
    </row>
    <row r="75" spans="1:27" s="132" customFormat="1" ht="6.75" customHeight="1">
      <c r="A75" s="92"/>
      <c r="B75" s="92"/>
      <c r="C75" s="92"/>
      <c r="D75" s="92"/>
      <c r="E75" s="92"/>
      <c r="F75" s="75"/>
      <c r="G75" s="75"/>
      <c r="H75" s="75"/>
      <c r="I75" s="75"/>
      <c r="J75" s="75"/>
      <c r="K75" s="75"/>
      <c r="L75" s="75"/>
      <c r="M75" s="75"/>
      <c r="N75" s="75"/>
      <c r="O75" s="75"/>
      <c r="P75" s="75"/>
      <c r="Q75" s="75"/>
      <c r="R75" s="75"/>
      <c r="S75" s="75"/>
      <c r="T75" s="75"/>
      <c r="U75" s="75"/>
      <c r="V75" s="75"/>
      <c r="W75" s="75"/>
      <c r="X75" s="75"/>
      <c r="Y75" s="75"/>
      <c r="Z75" s="93"/>
      <c r="AA75" s="116"/>
    </row>
    <row r="76" spans="1:27" s="132" customFormat="1" ht="15" customHeight="1">
      <c r="A76" s="92"/>
      <c r="B76" s="92"/>
      <c r="C76" s="92"/>
      <c r="D76" s="92"/>
      <c r="E76" s="92"/>
      <c r="F76" s="261"/>
      <c r="G76" s="261"/>
      <c r="H76" s="261"/>
      <c r="I76" s="455" t="s">
        <v>194</v>
      </c>
      <c r="J76" s="455"/>
      <c r="K76" s="455"/>
      <c r="L76" s="92"/>
      <c r="M76" s="236">
        <f>IF($I$14="Fixed Income","",IF($I$10=" &lt;&lt;&lt; Select Index &gt;&gt;&gt;","",IF(ISERROR(VLOOKUP($I$10&amp;$I$12,'Database - FI'!$B:$DC,44,FALSE))=TRUE,"†",IF(ISBLANK((VLOOKUP($I$10&amp;$I$12,'Database - FI'!$B:$DC,44,FALSE))),"",VLOOKUP($I$10&amp;$I$12,'Database - FI'!$B:$DC,44,FALSE)))))</f>
        <v>1</v>
      </c>
      <c r="N76" s="67"/>
      <c r="O76" s="75"/>
      <c r="P76" s="75"/>
      <c r="Q76" s="75"/>
      <c r="R76" s="75"/>
      <c r="S76" s="75"/>
      <c r="T76" s="75"/>
      <c r="U76" s="75"/>
      <c r="V76" s="75"/>
      <c r="W76" s="75"/>
      <c r="X76" s="75"/>
      <c r="Y76" s="75"/>
      <c r="Z76" s="93"/>
      <c r="AA76" s="116"/>
    </row>
    <row r="77" spans="1:27" s="132" customFormat="1" ht="15" customHeight="1">
      <c r="A77" s="93"/>
      <c r="B77" s="254"/>
      <c r="C77" s="254"/>
      <c r="D77" s="254"/>
      <c r="E77" s="92"/>
      <c r="F77" s="255"/>
      <c r="G77" s="255"/>
      <c r="H77" s="255"/>
      <c r="I77" s="455" t="s">
        <v>195</v>
      </c>
      <c r="J77" s="455"/>
      <c r="K77" s="455"/>
      <c r="L77" s="92"/>
      <c r="M77" s="237">
        <f>IF($I$14="Fixed Income","",IF($I$10=" &lt;&lt;&lt; Select Index &gt;&gt;&gt;","",IF(ISERROR(VLOOKUP($I$10&amp;$I$12,'Database - FI'!$B:$DC,43,FALSE))=TRUE,"†",IF(ISBLANK((VLOOKUP($I$10&amp;$I$12,'Database - FI'!$B:$DC,43,FALSE))),"",VLOOKUP($I$10&amp;$I$12,'Database - FI'!$B:$DC,43,FALSE)))))</f>
        <v>0.99866101368262505</v>
      </c>
      <c r="N77" s="67"/>
      <c r="O77" s="75"/>
      <c r="P77" s="75"/>
      <c r="Q77" s="75"/>
      <c r="R77" s="75"/>
      <c r="S77" s="75"/>
      <c r="T77" s="75"/>
      <c r="U77" s="75"/>
      <c r="V77" s="75"/>
      <c r="W77" s="75"/>
      <c r="X77" s="75"/>
      <c r="Y77" s="75"/>
      <c r="Z77" s="93"/>
      <c r="AA77" s="116"/>
    </row>
    <row r="78" spans="1:27" s="132" customFormat="1" ht="12" customHeight="1">
      <c r="A78" s="93"/>
      <c r="B78" s="254"/>
      <c r="C78" s="254"/>
      <c r="D78" s="254"/>
      <c r="E78" s="92"/>
      <c r="F78" s="255"/>
      <c r="G78" s="255"/>
      <c r="H78" s="255"/>
      <c r="I78" s="243"/>
      <c r="J78" s="243"/>
      <c r="K78" s="243"/>
      <c r="L78" s="92"/>
      <c r="M78" s="244"/>
      <c r="N78" s="67"/>
      <c r="O78" s="75"/>
      <c r="P78" s="75"/>
      <c r="Q78" s="75"/>
      <c r="R78" s="75"/>
      <c r="S78" s="75"/>
      <c r="T78" s="75"/>
      <c r="U78" s="75"/>
      <c r="V78" s="75"/>
      <c r="W78" s="75"/>
      <c r="X78" s="75"/>
      <c r="Y78" s="75"/>
      <c r="Z78" s="93"/>
      <c r="AA78" s="116"/>
    </row>
    <row r="79" spans="1:27" s="132" customFormat="1" ht="15" customHeight="1">
      <c r="A79" s="93"/>
      <c r="B79" s="254"/>
      <c r="C79" s="254"/>
      <c r="D79" s="254"/>
      <c r="E79" s="92"/>
      <c r="F79" s="255"/>
      <c r="G79" s="255"/>
      <c r="H79" s="255"/>
      <c r="I79" s="243"/>
      <c r="J79" s="243"/>
      <c r="K79" s="243"/>
      <c r="L79" s="92"/>
      <c r="M79" s="244"/>
      <c r="N79" s="67"/>
      <c r="O79" s="75"/>
      <c r="P79" s="75"/>
      <c r="Q79" s="75"/>
      <c r="R79" s="75"/>
      <c r="S79" s="75"/>
      <c r="T79" s="75"/>
      <c r="U79" s="75"/>
      <c r="V79" s="75"/>
      <c r="W79" s="75"/>
      <c r="X79" s="75"/>
      <c r="Y79" s="75"/>
      <c r="Z79" s="93"/>
      <c r="AA79" s="116"/>
    </row>
    <row r="80" spans="1:27" s="132" customFormat="1" ht="15.75" customHeight="1">
      <c r="A80" s="93"/>
      <c r="B80" s="254"/>
      <c r="C80" s="254"/>
      <c r="D80" s="254"/>
      <c r="E80" s="92"/>
      <c r="F80" s="255"/>
      <c r="G80" s="255"/>
      <c r="H80" s="255"/>
      <c r="I80" s="455"/>
      <c r="J80" s="455"/>
      <c r="K80" s="455"/>
      <c r="L80" s="92"/>
      <c r="M80" s="262"/>
      <c r="N80" s="67"/>
      <c r="O80" s="75"/>
      <c r="P80" s="75"/>
      <c r="Q80" s="75"/>
      <c r="R80" s="75"/>
      <c r="S80" s="75"/>
      <c r="T80" s="75"/>
      <c r="U80" s="75"/>
      <c r="V80" s="75"/>
      <c r="W80" s="75"/>
      <c r="X80" s="75"/>
      <c r="Y80" s="75"/>
      <c r="Z80" s="93"/>
      <c r="AA80" s="116"/>
    </row>
    <row r="81" spans="1:26" ht="13.5" customHeight="1">
      <c r="A81" s="92"/>
      <c r="B81" s="456" t="s">
        <v>221</v>
      </c>
      <c r="C81" s="456"/>
      <c r="D81" s="456"/>
      <c r="E81" s="456"/>
      <c r="F81" s="456"/>
      <c r="G81" s="456"/>
      <c r="H81" s="456"/>
      <c r="I81" s="456"/>
      <c r="J81" s="456"/>
      <c r="K81" s="456"/>
      <c r="L81" s="456"/>
      <c r="M81" s="456"/>
      <c r="N81" s="456"/>
      <c r="O81" s="456"/>
      <c r="P81" s="456"/>
      <c r="Q81" s="456"/>
      <c r="R81" s="456"/>
      <c r="S81" s="456"/>
      <c r="T81" s="456"/>
      <c r="U81" s="456"/>
      <c r="V81" s="456"/>
      <c r="W81" s="456"/>
      <c r="X81" s="456"/>
      <c r="Y81" s="456"/>
      <c r="Z81" s="92"/>
    </row>
    <row r="82" spans="1:26">
      <c r="A82" s="92"/>
      <c r="B82" s="33" t="s">
        <v>222</v>
      </c>
      <c r="C82" s="1"/>
      <c r="D82" s="1"/>
      <c r="E82" s="1"/>
      <c r="F82" s="1"/>
      <c r="G82" s="1"/>
      <c r="H82" s="1"/>
      <c r="I82" s="1"/>
      <c r="J82" s="1"/>
      <c r="K82" s="1"/>
      <c r="L82" s="1"/>
      <c r="M82" s="1"/>
      <c r="N82" s="1"/>
      <c r="O82" s="1"/>
      <c r="P82" s="1"/>
      <c r="Q82" s="1"/>
      <c r="R82" s="1"/>
      <c r="S82" s="1"/>
      <c r="T82" s="1"/>
      <c r="U82" s="1"/>
      <c r="V82" s="1"/>
      <c r="W82" s="1"/>
      <c r="X82" s="1"/>
      <c r="Y82" s="1"/>
      <c r="Z82" s="92"/>
    </row>
    <row r="83" spans="1:26">
      <c r="A83" s="92"/>
      <c r="B83" s="33"/>
      <c r="C83" s="1"/>
      <c r="D83" s="1"/>
      <c r="E83" s="1"/>
      <c r="F83" s="1"/>
      <c r="G83" s="1"/>
      <c r="H83" s="1"/>
      <c r="I83" s="1"/>
      <c r="J83" s="1"/>
      <c r="K83" s="1"/>
      <c r="L83" s="1"/>
      <c r="M83" s="1"/>
      <c r="N83" s="1"/>
      <c r="O83" s="1"/>
      <c r="P83" s="1"/>
      <c r="Q83" s="1"/>
      <c r="R83" s="1"/>
      <c r="S83" s="1"/>
      <c r="T83" s="1"/>
      <c r="U83" s="1"/>
      <c r="V83" s="1"/>
      <c r="W83" s="1"/>
      <c r="X83" s="1"/>
      <c r="Y83" s="1"/>
      <c r="Z83" s="92"/>
    </row>
    <row r="84" spans="1:26" ht="14.25" customHeight="1">
      <c r="A84" s="92"/>
      <c r="B84" s="33"/>
      <c r="C84" s="2"/>
      <c r="D84" s="75"/>
      <c r="E84" s="2"/>
      <c r="F84" s="2"/>
      <c r="G84" s="2"/>
      <c r="H84" s="2"/>
      <c r="I84" s="2"/>
      <c r="J84" s="2"/>
      <c r="K84" s="2"/>
      <c r="L84" s="2"/>
      <c r="M84" s="2"/>
      <c r="N84" s="2"/>
      <c r="O84" s="2"/>
      <c r="P84" s="2"/>
      <c r="Q84" s="2"/>
      <c r="R84" s="2"/>
      <c r="S84" s="2"/>
      <c r="T84" s="2"/>
      <c r="U84" s="2"/>
      <c r="V84" s="2"/>
      <c r="W84" s="2"/>
      <c r="X84" s="2"/>
      <c r="Y84" s="2"/>
      <c r="Z84" s="92"/>
    </row>
    <row r="85" spans="1:26" ht="15">
      <c r="I85"/>
    </row>
    <row r="86" spans="1:26" ht="15">
      <c r="I86"/>
    </row>
    <row r="87" spans="1:26" ht="15">
      <c r="I87"/>
      <c r="K87" s="263"/>
    </row>
    <row r="88" spans="1:26" ht="15">
      <c r="I88"/>
      <c r="K88" s="263"/>
    </row>
    <row r="118" spans="15:15" ht="15">
      <c r="O118"/>
    </row>
    <row r="119" spans="15:15" ht="15">
      <c r="O119"/>
    </row>
    <row r="120" spans="15:15" ht="15">
      <c r="O120"/>
    </row>
    <row r="121" spans="15:15" ht="15">
      <c r="O121"/>
    </row>
    <row r="122" spans="15:15" ht="15">
      <c r="O122"/>
    </row>
    <row r="123" spans="15:15" ht="15">
      <c r="O123"/>
    </row>
    <row r="124" spans="15:15" ht="15">
      <c r="O124"/>
    </row>
    <row r="125" spans="15:15" ht="15">
      <c r="O125"/>
    </row>
    <row r="126" spans="15:15" ht="15">
      <c r="O126"/>
    </row>
    <row r="127" spans="15:15" ht="15">
      <c r="O127"/>
    </row>
    <row r="128" spans="15:15" ht="15">
      <c r="O128"/>
    </row>
    <row r="129" spans="15:15" ht="15">
      <c r="O129"/>
    </row>
    <row r="130" spans="15:15" ht="15">
      <c r="O130"/>
    </row>
    <row r="131" spans="15:15" ht="15">
      <c r="O131"/>
    </row>
    <row r="132" spans="15:15" ht="15">
      <c r="O132"/>
    </row>
    <row r="133" spans="15:15" ht="15">
      <c r="O133"/>
    </row>
    <row r="134" spans="15:15" ht="15">
      <c r="O134"/>
    </row>
    <row r="135" spans="15:15" ht="15">
      <c r="O135"/>
    </row>
    <row r="136" spans="15:15" ht="15">
      <c r="O136"/>
    </row>
    <row r="137" spans="15:15" ht="15">
      <c r="O137"/>
    </row>
    <row r="138" spans="15:15" ht="15">
      <c r="O138"/>
    </row>
    <row r="139" spans="15:15" ht="15">
      <c r="O139"/>
    </row>
    <row r="140" spans="15:15" ht="15">
      <c r="O140"/>
    </row>
    <row r="141" spans="15:15" ht="15">
      <c r="O141"/>
    </row>
    <row r="142" spans="15:15" ht="15">
      <c r="O142"/>
    </row>
    <row r="143" spans="15:15" ht="15">
      <c r="O143"/>
    </row>
    <row r="144" spans="15:15" ht="15">
      <c r="O144"/>
    </row>
    <row r="145" spans="15:15" ht="15">
      <c r="O145"/>
    </row>
    <row r="146" spans="15:15" ht="15">
      <c r="O146"/>
    </row>
    <row r="147" spans="15:15" ht="15">
      <c r="O147"/>
    </row>
    <row r="148" spans="15:15" ht="15">
      <c r="O148"/>
    </row>
    <row r="149" spans="15:15" ht="15">
      <c r="O149"/>
    </row>
    <row r="150" spans="15:15" ht="15">
      <c r="O150"/>
    </row>
    <row r="151" spans="15:15" ht="15">
      <c r="O151"/>
    </row>
    <row r="152" spans="15:15" ht="15">
      <c r="O152"/>
    </row>
    <row r="153" spans="15:15" ht="15">
      <c r="O153"/>
    </row>
    <row r="154" spans="15:15" ht="15">
      <c r="O154"/>
    </row>
    <row r="155" spans="15:15" ht="15">
      <c r="O155"/>
    </row>
    <row r="156" spans="15:15" ht="15">
      <c r="O156"/>
    </row>
    <row r="157" spans="15:15" ht="15">
      <c r="O157"/>
    </row>
    <row r="158" spans="15:15" ht="15">
      <c r="O158"/>
    </row>
    <row r="159" spans="15:15" ht="15">
      <c r="O159"/>
    </row>
    <row r="160" spans="15:15" ht="15">
      <c r="O160"/>
    </row>
    <row r="161" spans="15:15" ht="15">
      <c r="O161"/>
    </row>
    <row r="162" spans="15:15" ht="15">
      <c r="O162"/>
    </row>
    <row r="163" spans="15:15" ht="15">
      <c r="O163"/>
    </row>
    <row r="164" spans="15:15" ht="15">
      <c r="O164"/>
    </row>
    <row r="165" spans="15:15" ht="15">
      <c r="O165"/>
    </row>
    <row r="166" spans="15:15" ht="15">
      <c r="O166"/>
    </row>
    <row r="167" spans="15:15" ht="15">
      <c r="O167"/>
    </row>
    <row r="168" spans="15:15" ht="15">
      <c r="O168"/>
    </row>
    <row r="169" spans="15:15" ht="15">
      <c r="O169"/>
    </row>
    <row r="170" spans="15:15" ht="15">
      <c r="O170"/>
    </row>
    <row r="171" spans="15:15" ht="15">
      <c r="O171"/>
    </row>
    <row r="172" spans="15:15" ht="15">
      <c r="O172"/>
    </row>
    <row r="173" spans="15:15" ht="15">
      <c r="O173"/>
    </row>
    <row r="174" spans="15:15" ht="15">
      <c r="O174"/>
    </row>
    <row r="175" spans="15:15" ht="15">
      <c r="O175"/>
    </row>
    <row r="176" spans="15:15" ht="15">
      <c r="O176"/>
    </row>
    <row r="177" spans="15:15" ht="15">
      <c r="O177"/>
    </row>
    <row r="178" spans="15:15" ht="15">
      <c r="O178"/>
    </row>
    <row r="179" spans="15:15" ht="15">
      <c r="O179"/>
    </row>
    <row r="180" spans="15:15" ht="15">
      <c r="O180"/>
    </row>
    <row r="181" spans="15:15" ht="15">
      <c r="O181"/>
    </row>
    <row r="182" spans="15:15" ht="15">
      <c r="O182"/>
    </row>
    <row r="183" spans="15:15" ht="15">
      <c r="O183"/>
    </row>
    <row r="184" spans="15:15" ht="15">
      <c r="O184"/>
    </row>
    <row r="185" spans="15:15" ht="15">
      <c r="O185"/>
    </row>
    <row r="186" spans="15:15" ht="15">
      <c r="O186"/>
    </row>
    <row r="187" spans="15:15" ht="15">
      <c r="O187"/>
    </row>
    <row r="188" spans="15:15" ht="15">
      <c r="O188"/>
    </row>
    <row r="189" spans="15:15" ht="15">
      <c r="O189"/>
    </row>
    <row r="190" spans="15:15" ht="15">
      <c r="O190"/>
    </row>
    <row r="191" spans="15:15" ht="15">
      <c r="O191"/>
    </row>
    <row r="192" spans="15:15" ht="15">
      <c r="O192"/>
    </row>
    <row r="193" spans="15:15" ht="15">
      <c r="O193"/>
    </row>
    <row r="194" spans="15:15" ht="15">
      <c r="O194"/>
    </row>
    <row r="195" spans="15:15" ht="15">
      <c r="O195"/>
    </row>
    <row r="196" spans="15:15" ht="15">
      <c r="O196"/>
    </row>
    <row r="197" spans="15:15" ht="15">
      <c r="O197"/>
    </row>
    <row r="198" spans="15:15" ht="15">
      <c r="O198"/>
    </row>
    <row r="199" spans="15:15" ht="15">
      <c r="O199"/>
    </row>
    <row r="200" spans="15:15" ht="15">
      <c r="O200"/>
    </row>
    <row r="201" spans="15:15" ht="15">
      <c r="O201"/>
    </row>
    <row r="202" spans="15:15" ht="15">
      <c r="O202"/>
    </row>
    <row r="203" spans="15:15" ht="15">
      <c r="O203"/>
    </row>
  </sheetData>
  <sheetProtection algorithmName="SHA-512" hashValue="jNT65PeTm6hBK7z6xIxru6nJPsVUU81w/dpY8Um4RN3KeDCoYp1ehvHRuf1k3OHKQ2lqVu9YoVaZqPWoUAkW8A==" saltValue="VHKEsw6srN8o+AxXmXo1VQ==" spinCount="100000" sheet="1" objects="1" scenarios="1"/>
  <mergeCells count="75">
    <mergeCell ref="F12:G12"/>
    <mergeCell ref="B7:Y7"/>
    <mergeCell ref="B8:G8"/>
    <mergeCell ref="I8:O8"/>
    <mergeCell ref="B10:G10"/>
    <mergeCell ref="I10:O10"/>
    <mergeCell ref="F14:G14"/>
    <mergeCell ref="I14:K14"/>
    <mergeCell ref="F16:G16"/>
    <mergeCell ref="C18:G18"/>
    <mergeCell ref="C19:G19"/>
    <mergeCell ref="I27:K27"/>
    <mergeCell ref="I28:K28"/>
    <mergeCell ref="B31:D31"/>
    <mergeCell ref="F31:K31"/>
    <mergeCell ref="Q31:Y31"/>
    <mergeCell ref="W19:Y19"/>
    <mergeCell ref="B23:D23"/>
    <mergeCell ref="F23:K23"/>
    <mergeCell ref="Q23:Y23"/>
    <mergeCell ref="B25:D25"/>
    <mergeCell ref="F25:K25"/>
    <mergeCell ref="Q25:Y25"/>
    <mergeCell ref="S19:U19"/>
    <mergeCell ref="B46:D46"/>
    <mergeCell ref="F46:K46"/>
    <mergeCell ref="Q46:Y46"/>
    <mergeCell ref="B33:D33"/>
    <mergeCell ref="F33:K33"/>
    <mergeCell ref="Q33:Y33"/>
    <mergeCell ref="B40:D40"/>
    <mergeCell ref="F40:K40"/>
    <mergeCell ref="Q40:Y40"/>
    <mergeCell ref="I41:K41"/>
    <mergeCell ref="I42:K42"/>
    <mergeCell ref="B35:D35"/>
    <mergeCell ref="F35:K35"/>
    <mergeCell ref="Q35:Y35"/>
    <mergeCell ref="I37:K37"/>
    <mergeCell ref="I38:K38"/>
    <mergeCell ref="I59:K59"/>
    <mergeCell ref="I60:K60"/>
    <mergeCell ref="B48:D48"/>
    <mergeCell ref="F48:K48"/>
    <mergeCell ref="Q48:Y48"/>
    <mergeCell ref="B55:D57"/>
    <mergeCell ref="F55:K57"/>
    <mergeCell ref="Q55:Y55"/>
    <mergeCell ref="Q56:Y56"/>
    <mergeCell ref="Q57:Y57"/>
    <mergeCell ref="I50:K50"/>
    <mergeCell ref="I51:K51"/>
    <mergeCell ref="B53:D53"/>
    <mergeCell ref="F53:K53"/>
    <mergeCell ref="Q53:Y53"/>
    <mergeCell ref="B62:D62"/>
    <mergeCell ref="F62:K62"/>
    <mergeCell ref="I65:K65"/>
    <mergeCell ref="Q67:Y67"/>
    <mergeCell ref="I69:K69"/>
    <mergeCell ref="B67:D67"/>
    <mergeCell ref="F67:K67"/>
    <mergeCell ref="Q62:Y62"/>
    <mergeCell ref="I64:K64"/>
    <mergeCell ref="I76:K76"/>
    <mergeCell ref="I77:K77"/>
    <mergeCell ref="I80:K80"/>
    <mergeCell ref="I70:K70"/>
    <mergeCell ref="B81:Y81"/>
    <mergeCell ref="B72:D72"/>
    <mergeCell ref="F72:K72"/>
    <mergeCell ref="Q72:Y72"/>
    <mergeCell ref="B74:D74"/>
    <mergeCell ref="F74:K74"/>
    <mergeCell ref="Q74:Y74"/>
  </mergeCells>
  <conditionalFormatting sqref="B25">
    <cfRule type="cellIs" dxfId="69" priority="26" operator="equal">
      <formula>"***"</formula>
    </cfRule>
  </conditionalFormatting>
  <conditionalFormatting sqref="B31">
    <cfRule type="cellIs" dxfId="68" priority="25" operator="equal">
      <formula>"***"</formula>
    </cfRule>
  </conditionalFormatting>
  <conditionalFormatting sqref="B33">
    <cfRule type="cellIs" dxfId="67" priority="24" operator="equal">
      <formula>"***"</formula>
    </cfRule>
  </conditionalFormatting>
  <conditionalFormatting sqref="B35">
    <cfRule type="cellIs" dxfId="66" priority="23" operator="equal">
      <formula>"***"</formula>
    </cfRule>
  </conditionalFormatting>
  <conditionalFormatting sqref="B40">
    <cfRule type="cellIs" dxfId="65" priority="2" operator="equal">
      <formula>"***"</formula>
    </cfRule>
  </conditionalFormatting>
  <conditionalFormatting sqref="B48">
    <cfRule type="cellIs" dxfId="64" priority="22" operator="equal">
      <formula>"***"</formula>
    </cfRule>
  </conditionalFormatting>
  <conditionalFormatting sqref="B53">
    <cfRule type="cellIs" dxfId="63" priority="10" operator="equal">
      <formula>"***"</formula>
    </cfRule>
  </conditionalFormatting>
  <conditionalFormatting sqref="B55">
    <cfRule type="cellIs" dxfId="62" priority="21" operator="equal">
      <formula>"***"</formula>
    </cfRule>
  </conditionalFormatting>
  <conditionalFormatting sqref="B62">
    <cfRule type="cellIs" dxfId="61" priority="9" operator="equal">
      <formula>"***"</formula>
    </cfRule>
  </conditionalFormatting>
  <conditionalFormatting sqref="B67">
    <cfRule type="cellIs" dxfId="60" priority="8" operator="equal">
      <formula>"***"</formula>
    </cfRule>
  </conditionalFormatting>
  <conditionalFormatting sqref="B72">
    <cfRule type="cellIs" dxfId="59" priority="5" operator="equal">
      <formula>"***"</formula>
    </cfRule>
  </conditionalFormatting>
  <conditionalFormatting sqref="B74">
    <cfRule type="cellIs" dxfId="58" priority="3" operator="equal">
      <formula>"***"</formula>
    </cfRule>
  </conditionalFormatting>
  <conditionalFormatting sqref="M25">
    <cfRule type="cellIs" dxfId="57" priority="27" operator="equal">
      <formula>"***"</formula>
    </cfRule>
  </conditionalFormatting>
  <conditionalFormatting sqref="M27:M28">
    <cfRule type="cellIs" dxfId="56" priority="20" operator="equal">
      <formula>"***"</formula>
    </cfRule>
  </conditionalFormatting>
  <conditionalFormatting sqref="M31">
    <cfRule type="cellIs" dxfId="55" priority="19" operator="equal">
      <formula>"***"</formula>
    </cfRule>
  </conditionalFormatting>
  <conditionalFormatting sqref="M33">
    <cfRule type="cellIs" dxfId="54" priority="18" operator="equal">
      <formula>"***"</formula>
    </cfRule>
  </conditionalFormatting>
  <conditionalFormatting sqref="M35">
    <cfRule type="cellIs" dxfId="53" priority="17" operator="equal">
      <formula>"***"</formula>
    </cfRule>
  </conditionalFormatting>
  <conditionalFormatting sqref="M37:M43">
    <cfRule type="cellIs" dxfId="52" priority="1" operator="equal">
      <formula>"***"</formula>
    </cfRule>
  </conditionalFormatting>
  <conditionalFormatting sqref="M48">
    <cfRule type="cellIs" dxfId="51" priority="16" operator="equal">
      <formula>"***"</formula>
    </cfRule>
  </conditionalFormatting>
  <conditionalFormatting sqref="M50:M51">
    <cfRule type="cellIs" dxfId="50" priority="13" operator="equal">
      <formula>"***"</formula>
    </cfRule>
  </conditionalFormatting>
  <conditionalFormatting sqref="M53">
    <cfRule type="cellIs" dxfId="49" priority="15" operator="equal">
      <formula>"***"</formula>
    </cfRule>
  </conditionalFormatting>
  <conditionalFormatting sqref="M55:M57">
    <cfRule type="cellIs" dxfId="48" priority="14" operator="equal">
      <formula>"***"</formula>
    </cfRule>
  </conditionalFormatting>
  <conditionalFormatting sqref="M59:M62">
    <cfRule type="cellIs" dxfId="47" priority="12" operator="equal">
      <formula>"***"</formula>
    </cfRule>
  </conditionalFormatting>
  <conditionalFormatting sqref="M64:M67">
    <cfRule type="cellIs" dxfId="46" priority="11" operator="equal">
      <formula>"***"</formula>
    </cfRule>
  </conditionalFormatting>
  <conditionalFormatting sqref="M69:M72">
    <cfRule type="cellIs" dxfId="45" priority="7" operator="equal">
      <formula>"***"</formula>
    </cfRule>
  </conditionalFormatting>
  <conditionalFormatting sqref="M74">
    <cfRule type="cellIs" dxfId="44" priority="6" operator="equal">
      <formula>"***"</formula>
    </cfRule>
  </conditionalFormatting>
  <conditionalFormatting sqref="M76:M80">
    <cfRule type="cellIs" dxfId="43" priority="4" operator="equal">
      <formula>"***"</formula>
    </cfRule>
  </conditionalFormatting>
  <printOptions gridLines="1"/>
  <pageMargins left="0" right="0" top="0" bottom="0" header="0.3" footer="0.3"/>
  <pageSetup scale="42" fitToHeight="0"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D9CA90B3-7980-4007-9072-AFA5C8B3B913}">
          <x14:formula1>
            <xm:f>'Database - FI'!$E$4:$E$5</xm:f>
          </x14:formula1>
          <xm:sqref>I10:O10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D6E8BF-E097-4A50-A7F6-A77274091A75}">
  <sheetPr>
    <tabColor theme="1"/>
    <pageSetUpPr fitToPage="1"/>
  </sheetPr>
  <dimension ref="A1:AF77"/>
  <sheetViews>
    <sheetView topLeftCell="A4" zoomScale="80" zoomScaleNormal="80" workbookViewId="0">
      <selection activeCell="O27" sqref="O27"/>
    </sheetView>
  </sheetViews>
  <sheetFormatPr defaultColWidth="9.28515625" defaultRowHeight="14.25"/>
  <cols>
    <col min="1" max="1" width="5.7109375" style="116" customWidth="1"/>
    <col min="2" max="4" width="5.42578125" style="116" customWidth="1"/>
    <col min="5" max="5" width="8.5703125" style="116" customWidth="1"/>
    <col min="6" max="6" width="15.7109375" style="116" customWidth="1"/>
    <col min="7" max="7" width="13.28515625" style="116" customWidth="1"/>
    <col min="8" max="8" width="1.5703125" style="116" customWidth="1"/>
    <col min="9" max="9" width="22.7109375" style="116" customWidth="1"/>
    <col min="10" max="10" width="2.28515625" style="116" customWidth="1"/>
    <col min="11" max="11" width="22.7109375" style="116" customWidth="1"/>
    <col min="12" max="12" width="1.42578125" style="116" customWidth="1"/>
    <col min="13" max="13" width="20.7109375" style="116" customWidth="1"/>
    <col min="14" max="14" width="5.7109375" style="116" customWidth="1"/>
    <col min="15" max="15" width="40.7109375" style="116" customWidth="1"/>
    <col min="16" max="16" width="2.7109375" style="116" customWidth="1"/>
    <col min="17" max="17" width="35.5703125" style="116" customWidth="1"/>
    <col min="18" max="18" width="2.7109375" style="116" customWidth="1"/>
    <col min="19" max="19" width="14.28515625" style="116" customWidth="1"/>
    <col min="20" max="20" width="2.7109375" style="116" customWidth="1"/>
    <col min="21" max="21" width="11.42578125" style="116" customWidth="1"/>
    <col min="22" max="22" width="2.7109375" style="116" customWidth="1"/>
    <col min="23" max="24" width="16.28515625" style="116" customWidth="1"/>
    <col min="25" max="25" width="27.5703125" style="116" customWidth="1"/>
    <col min="26" max="26" width="5.7109375" style="116" customWidth="1"/>
    <col min="27" max="27" width="9.28515625" style="116"/>
    <col min="28" max="28" width="14" style="116" customWidth="1"/>
    <col min="29" max="29" width="22.7109375" style="116" customWidth="1"/>
    <col min="30" max="30" width="16.42578125" style="116" customWidth="1"/>
    <col min="31" max="31" width="9.28515625" style="116"/>
    <col min="32" max="32" width="13" style="116" customWidth="1"/>
    <col min="33" max="33" width="9.28515625" style="116"/>
    <col min="34" max="34" width="11" style="116" customWidth="1"/>
    <col min="35" max="16384" width="9.28515625" style="116"/>
  </cols>
  <sheetData>
    <row r="1" spans="1:32" ht="75" customHeight="1">
      <c r="A1" s="50"/>
      <c r="B1" s="50"/>
      <c r="C1" s="50"/>
      <c r="D1" s="50"/>
      <c r="E1" s="50"/>
      <c r="F1" s="50"/>
      <c r="G1" s="50"/>
      <c r="H1" s="50"/>
      <c r="I1" s="50"/>
      <c r="J1" s="50"/>
      <c r="K1" s="50"/>
      <c r="L1" s="50"/>
      <c r="M1" s="50"/>
      <c r="N1" s="50"/>
      <c r="O1" s="50"/>
      <c r="P1" s="50"/>
      <c r="Q1" s="50"/>
      <c r="R1" s="50"/>
      <c r="S1" s="50"/>
      <c r="T1" s="50"/>
      <c r="U1" s="50"/>
      <c r="V1" s="50"/>
      <c r="W1" s="50"/>
      <c r="X1" s="50"/>
      <c r="Y1" s="50"/>
      <c r="Z1" s="50"/>
    </row>
    <row r="2" spans="1:32" ht="15" customHeight="1">
      <c r="A2" s="92"/>
      <c r="B2" s="92"/>
      <c r="C2" s="92"/>
      <c r="D2" s="92"/>
      <c r="E2" s="92"/>
      <c r="F2" s="92"/>
      <c r="G2" s="92"/>
      <c r="H2" s="92"/>
      <c r="I2" s="92"/>
      <c r="J2" s="92"/>
      <c r="K2" s="92"/>
      <c r="L2" s="92"/>
      <c r="M2" s="92"/>
      <c r="N2" s="92"/>
      <c r="O2" s="92"/>
      <c r="P2" s="92"/>
      <c r="Q2" s="92"/>
      <c r="R2" s="92"/>
      <c r="S2" s="92"/>
      <c r="T2" s="92"/>
      <c r="U2" s="92"/>
      <c r="V2" s="92"/>
      <c r="W2" s="92"/>
      <c r="X2" s="92"/>
      <c r="Y2" s="92"/>
      <c r="Z2" s="92"/>
    </row>
    <row r="3" spans="1:32" ht="30.75" customHeight="1">
      <c r="A3" s="92"/>
      <c r="B3" s="76" t="s">
        <v>91</v>
      </c>
      <c r="C3" s="16"/>
      <c r="D3" s="16"/>
      <c r="E3" s="92"/>
      <c r="F3" s="92"/>
      <c r="G3" s="92"/>
      <c r="H3" s="92"/>
      <c r="I3" s="92"/>
      <c r="J3" s="92"/>
      <c r="K3" s="92"/>
      <c r="L3" s="92"/>
      <c r="M3" s="92"/>
      <c r="N3" s="92"/>
      <c r="O3" s="92"/>
      <c r="P3" s="92"/>
      <c r="Q3" s="92"/>
      <c r="R3" s="92"/>
      <c r="S3" s="92"/>
      <c r="T3" s="92"/>
      <c r="U3" s="92"/>
      <c r="V3" s="92"/>
      <c r="W3" s="92"/>
      <c r="X3" s="92"/>
      <c r="Y3" s="197">
        <v>45947</v>
      </c>
      <c r="Z3" s="92"/>
    </row>
    <row r="4" spans="1:32" ht="15" customHeight="1">
      <c r="A4" s="92"/>
      <c r="B4" s="16"/>
      <c r="C4" s="16"/>
      <c r="D4" s="16"/>
      <c r="E4" s="92"/>
      <c r="F4" s="92"/>
      <c r="G4" s="92"/>
      <c r="H4" s="92"/>
      <c r="I4" s="92"/>
      <c r="J4" s="92"/>
      <c r="K4" s="92"/>
      <c r="L4" s="92"/>
      <c r="M4" s="92"/>
      <c r="N4" s="92"/>
      <c r="O4" s="92"/>
      <c r="P4" s="92"/>
      <c r="Q4" s="92"/>
      <c r="R4" s="92"/>
      <c r="S4" s="92"/>
      <c r="T4" s="92"/>
      <c r="U4" s="92"/>
      <c r="V4" s="92"/>
      <c r="W4" s="92"/>
      <c r="X4" s="92"/>
      <c r="Y4" s="92"/>
      <c r="Z4" s="92"/>
    </row>
    <row r="5" spans="1:32" ht="21" customHeight="1">
      <c r="A5" s="92"/>
      <c r="B5" s="8" t="s">
        <v>39</v>
      </c>
      <c r="C5" s="8"/>
      <c r="D5" s="8"/>
      <c r="E5" s="92"/>
      <c r="F5" s="92"/>
      <c r="G5" s="92"/>
      <c r="H5" s="92"/>
      <c r="I5" s="92"/>
      <c r="J5" s="92"/>
      <c r="K5" s="92"/>
      <c r="L5" s="92"/>
      <c r="M5" s="92"/>
      <c r="N5" s="92"/>
      <c r="O5" s="92"/>
      <c r="P5" s="92"/>
      <c r="Q5" s="92"/>
      <c r="R5" s="92"/>
      <c r="S5" s="92"/>
      <c r="T5" s="92"/>
      <c r="U5" s="92"/>
      <c r="V5" s="92"/>
      <c r="W5" s="92"/>
      <c r="X5" s="92"/>
      <c r="Y5" s="92"/>
      <c r="Z5" s="92"/>
    </row>
    <row r="6" spans="1:32" ht="15" customHeight="1">
      <c r="A6" s="92"/>
      <c r="B6" s="8"/>
      <c r="C6" s="8"/>
      <c r="D6" s="8"/>
      <c r="E6" s="92"/>
      <c r="F6" s="92"/>
      <c r="G6" s="92"/>
      <c r="H6" s="92"/>
      <c r="I6" s="92"/>
      <c r="J6" s="92"/>
      <c r="K6" s="92"/>
      <c r="L6" s="92"/>
      <c r="M6" s="92"/>
      <c r="N6" s="92"/>
      <c r="O6" s="92"/>
      <c r="P6" s="92"/>
      <c r="Q6" s="92"/>
      <c r="R6" s="92"/>
      <c r="S6" s="92"/>
      <c r="T6" s="92"/>
      <c r="U6" s="92"/>
      <c r="V6" s="92"/>
      <c r="W6" s="92"/>
      <c r="X6" s="92"/>
      <c r="Y6" s="92"/>
      <c r="Z6" s="92"/>
    </row>
    <row r="7" spans="1:32" ht="48.75" customHeight="1">
      <c r="A7" s="92"/>
      <c r="B7" s="354" t="s">
        <v>223</v>
      </c>
      <c r="C7" s="354"/>
      <c r="D7" s="354"/>
      <c r="E7" s="354"/>
      <c r="F7" s="354"/>
      <c r="G7" s="354"/>
      <c r="H7" s="354"/>
      <c r="I7" s="354"/>
      <c r="J7" s="354"/>
      <c r="K7" s="354"/>
      <c r="L7" s="354"/>
      <c r="M7" s="354"/>
      <c r="N7" s="354"/>
      <c r="O7" s="354"/>
      <c r="P7" s="354"/>
      <c r="Q7" s="354"/>
      <c r="R7" s="354"/>
      <c r="S7" s="354"/>
      <c r="T7" s="354"/>
      <c r="U7" s="354"/>
      <c r="V7" s="354"/>
      <c r="W7" s="354"/>
      <c r="X7" s="354"/>
      <c r="Y7" s="354"/>
      <c r="Z7" s="92"/>
    </row>
    <row r="8" spans="1:32" ht="15" customHeight="1">
      <c r="A8" s="92"/>
      <c r="B8" s="352" t="s">
        <v>33</v>
      </c>
      <c r="C8" s="377"/>
      <c r="D8" s="377"/>
      <c r="E8" s="377"/>
      <c r="F8" s="377"/>
      <c r="G8" s="353"/>
      <c r="H8" s="57"/>
      <c r="I8" s="509" t="str">
        <f>'I. ESG Factors Report - FI (1)'!I8</f>
        <v xml:space="preserve">Multi-Asset Allocation Indices Methodology </v>
      </c>
      <c r="J8" s="510"/>
      <c r="K8" s="510"/>
      <c r="L8" s="510"/>
      <c r="M8" s="510"/>
      <c r="N8" s="510"/>
      <c r="O8" s="511"/>
      <c r="P8" s="92"/>
      <c r="Q8" s="21"/>
      <c r="R8" s="37"/>
      <c r="S8" s="92"/>
      <c r="T8" s="92"/>
      <c r="U8" s="92"/>
      <c r="V8" s="92"/>
      <c r="W8" s="92"/>
      <c r="X8" s="92"/>
      <c r="Y8" s="92"/>
      <c r="Z8" s="92"/>
    </row>
    <row r="9" spans="1:32" ht="4.5" customHeight="1">
      <c r="A9" s="92"/>
      <c r="B9" s="11"/>
      <c r="C9" s="11"/>
      <c r="D9" s="11"/>
      <c r="E9" s="12"/>
      <c r="F9" s="11"/>
      <c r="G9" s="11"/>
      <c r="H9" s="59"/>
      <c r="I9" s="59"/>
      <c r="J9" s="59"/>
      <c r="K9" s="59"/>
      <c r="L9" s="59"/>
      <c r="M9" s="59"/>
      <c r="N9" s="59"/>
      <c r="O9" s="59"/>
      <c r="P9" s="92"/>
      <c r="Q9" s="60"/>
      <c r="R9" s="92"/>
      <c r="S9" s="92"/>
      <c r="T9" s="92"/>
      <c r="U9" s="92"/>
      <c r="V9" s="92"/>
      <c r="W9" s="92"/>
      <c r="X9" s="92"/>
      <c r="Y9" s="92"/>
      <c r="Z9" s="92"/>
    </row>
    <row r="10" spans="1:32" ht="15" customHeight="1">
      <c r="A10" s="92"/>
      <c r="B10" s="395" t="s">
        <v>92</v>
      </c>
      <c r="C10" s="396"/>
      <c r="D10" s="396"/>
      <c r="E10" s="396"/>
      <c r="F10" s="396"/>
      <c r="G10" s="397"/>
      <c r="H10" s="61"/>
      <c r="I10" s="509" t="str">
        <f>'I. ESG Factors Report - FI (1)'!I10</f>
        <v>iBoxx EUR Liquid Sovereign Diversified 1-10</v>
      </c>
      <c r="J10" s="510"/>
      <c r="K10" s="510"/>
      <c r="L10" s="510"/>
      <c r="M10" s="510"/>
      <c r="N10" s="510"/>
      <c r="O10" s="511"/>
      <c r="P10" s="92"/>
      <c r="Q10" s="22"/>
      <c r="R10" s="92"/>
      <c r="S10" s="199"/>
      <c r="T10" s="200"/>
      <c r="U10" s="200"/>
      <c r="V10" s="200"/>
      <c r="W10" s="200"/>
      <c r="X10" s="200"/>
      <c r="Y10" s="200"/>
      <c r="Z10" s="92"/>
    </row>
    <row r="11" spans="1:32" ht="7.5" customHeight="1">
      <c r="A11" s="92"/>
      <c r="B11" s="5"/>
      <c r="C11" s="5"/>
      <c r="D11" s="5"/>
      <c r="E11" s="6"/>
      <c r="F11" s="7"/>
      <c r="G11" s="5"/>
      <c r="H11" s="62"/>
      <c r="I11" s="60"/>
      <c r="J11" s="60"/>
      <c r="K11" s="60"/>
      <c r="L11" s="60"/>
      <c r="M11" s="62"/>
      <c r="N11" s="60"/>
      <c r="O11" s="62"/>
      <c r="P11" s="60"/>
      <c r="Q11" s="60"/>
      <c r="R11" s="123"/>
      <c r="S11" s="201"/>
      <c r="T11" s="202"/>
      <c r="U11" s="202"/>
      <c r="V11" s="202"/>
      <c r="W11" s="202"/>
      <c r="X11" s="202"/>
      <c r="Y11" s="202"/>
      <c r="Z11" s="92"/>
    </row>
    <row r="12" spans="1:32" ht="15" customHeight="1">
      <c r="A12" s="92"/>
      <c r="B12" s="5"/>
      <c r="C12" s="5"/>
      <c r="D12" s="5"/>
      <c r="E12" s="6"/>
      <c r="F12" s="395" t="s">
        <v>93</v>
      </c>
      <c r="G12" s="397"/>
      <c r="H12" s="61"/>
      <c r="I12" s="264">
        <f>'I. ESG Factors Report - FI (1)'!I12</f>
        <v>45922</v>
      </c>
      <c r="J12" s="204"/>
      <c r="K12" s="204"/>
      <c r="L12" s="26"/>
      <c r="M12" s="92"/>
      <c r="N12" s="60"/>
      <c r="O12" s="62"/>
      <c r="P12" s="60"/>
      <c r="Q12" s="60"/>
      <c r="R12" s="39"/>
      <c r="S12" s="205" t="s">
        <v>179</v>
      </c>
      <c r="T12" s="206"/>
      <c r="U12" s="207" t="s">
        <v>180</v>
      </c>
      <c r="V12" s="208"/>
      <c r="W12" s="208"/>
      <c r="X12" s="208"/>
      <c r="Y12" s="209" t="s">
        <v>181</v>
      </c>
      <c r="Z12" s="92"/>
    </row>
    <row r="13" spans="1:32" ht="8.25" customHeight="1">
      <c r="A13" s="92"/>
      <c r="B13" s="5"/>
      <c r="C13" s="5"/>
      <c r="D13" s="5"/>
      <c r="E13" s="6"/>
      <c r="F13" s="7"/>
      <c r="G13" s="5"/>
      <c r="H13" s="62"/>
      <c r="I13" s="60"/>
      <c r="J13" s="60"/>
      <c r="K13" s="60"/>
      <c r="L13" s="60"/>
      <c r="M13" s="62"/>
      <c r="N13" s="60"/>
      <c r="O13" s="62"/>
      <c r="P13" s="60"/>
      <c r="Q13" s="60"/>
      <c r="R13" s="60"/>
      <c r="S13" s="210"/>
      <c r="T13" s="211"/>
      <c r="U13" s="202"/>
      <c r="V13" s="208"/>
      <c r="W13" s="208"/>
      <c r="X13" s="208"/>
      <c r="Y13" s="212"/>
      <c r="Z13" s="39"/>
      <c r="AA13" s="39"/>
      <c r="AB13" s="39"/>
      <c r="AC13" s="39"/>
      <c r="AD13" s="39"/>
      <c r="AE13" s="39"/>
      <c r="AF13" s="39"/>
    </row>
    <row r="14" spans="1:32" ht="15" customHeight="1">
      <c r="A14" s="92"/>
      <c r="B14" s="5"/>
      <c r="C14" s="5"/>
      <c r="D14" s="5"/>
      <c r="E14" s="213"/>
      <c r="F14" s="502" t="s">
        <v>182</v>
      </c>
      <c r="G14" s="503"/>
      <c r="H14" s="214"/>
      <c r="I14" s="504" t="str">
        <f>'I. ESG Factors Report - FI (1)'!I14</f>
        <v>Sovereign Debt</v>
      </c>
      <c r="J14" s="505"/>
      <c r="K14" s="506"/>
      <c r="L14" s="62"/>
      <c r="M14" s="62"/>
      <c r="N14" s="62"/>
      <c r="O14" s="62"/>
      <c r="P14" s="60"/>
      <c r="Q14" s="60"/>
      <c r="R14" s="215"/>
      <c r="S14" s="210"/>
      <c r="T14" s="206"/>
      <c r="U14" s="207" t="s">
        <v>183</v>
      </c>
      <c r="V14" s="208"/>
      <c r="W14" s="208"/>
      <c r="X14" s="208"/>
      <c r="Y14" s="216" t="s">
        <v>184</v>
      </c>
      <c r="Z14" s="39"/>
      <c r="AA14" s="39"/>
      <c r="AB14" s="39"/>
      <c r="AC14" s="39"/>
      <c r="AD14" s="39"/>
      <c r="AE14" s="39"/>
      <c r="AF14" s="39"/>
    </row>
    <row r="15" spans="1:32" ht="15" customHeight="1">
      <c r="A15" s="92"/>
      <c r="B15" s="5"/>
      <c r="C15" s="5"/>
      <c r="D15" s="5"/>
      <c r="E15" s="6"/>
      <c r="F15" s="7"/>
      <c r="G15" s="5"/>
      <c r="H15" s="62"/>
      <c r="I15" s="60"/>
      <c r="J15" s="60"/>
      <c r="K15" s="60"/>
      <c r="L15" s="62"/>
      <c r="M15" s="62"/>
      <c r="N15" s="62"/>
      <c r="O15" s="62"/>
      <c r="P15" s="60"/>
      <c r="Q15" s="60"/>
      <c r="R15" s="36"/>
      <c r="S15" s="217"/>
      <c r="T15" s="218"/>
      <c r="U15" s="218"/>
      <c r="V15" s="218"/>
      <c r="W15" s="218"/>
      <c r="X15" s="218"/>
      <c r="Y15" s="218"/>
      <c r="Z15" s="39"/>
      <c r="AA15" s="39"/>
      <c r="AB15" s="39"/>
      <c r="AC15" s="39"/>
      <c r="AD15" s="39"/>
      <c r="AE15" s="39"/>
      <c r="AF15" s="39"/>
    </row>
    <row r="16" spans="1:32" ht="15">
      <c r="A16" s="92"/>
      <c r="B16" s="5"/>
      <c r="C16" s="5"/>
      <c r="D16" s="5"/>
      <c r="E16" s="6"/>
      <c r="F16" s="395" t="s">
        <v>185</v>
      </c>
      <c r="G16" s="397"/>
      <c r="H16" s="62"/>
      <c r="I16" s="219">
        <f>'I. ESG Factors Report - FI (1)'!I16</f>
        <v>25</v>
      </c>
      <c r="J16" s="60"/>
      <c r="K16" s="220" t="s">
        <v>186</v>
      </c>
      <c r="L16" s="62"/>
      <c r="M16" s="62"/>
      <c r="N16" s="60"/>
      <c r="O16" s="62"/>
      <c r="P16" s="60"/>
      <c r="Q16" s="60"/>
      <c r="R16" s="36"/>
      <c r="S16" s="123"/>
      <c r="T16" s="39"/>
      <c r="U16" s="39"/>
      <c r="V16" s="39"/>
      <c r="W16" s="39"/>
      <c r="X16" s="39"/>
      <c r="Y16" s="221"/>
      <c r="Z16" s="39"/>
      <c r="AA16" s="39"/>
      <c r="AB16" s="39"/>
      <c r="AC16" s="39"/>
      <c r="AD16" s="39"/>
      <c r="AE16" s="39"/>
      <c r="AF16" s="39"/>
    </row>
    <row r="17" spans="1:32" ht="8.25" customHeight="1">
      <c r="A17" s="92"/>
      <c r="B17" s="75"/>
      <c r="C17" s="5"/>
      <c r="D17" s="5"/>
      <c r="E17" s="6"/>
      <c r="F17" s="60"/>
      <c r="G17" s="60"/>
      <c r="H17" s="62"/>
      <c r="I17" s="60"/>
      <c r="J17" s="60"/>
      <c r="K17" s="60"/>
      <c r="L17" s="60"/>
      <c r="M17" s="62"/>
      <c r="N17" s="60"/>
      <c r="O17" s="62"/>
      <c r="P17" s="60"/>
      <c r="Q17" s="60"/>
      <c r="R17" s="36"/>
      <c r="S17" s="92"/>
      <c r="T17" s="123"/>
      <c r="U17" s="123"/>
      <c r="V17" s="92"/>
      <c r="W17" s="92"/>
      <c r="X17" s="92"/>
      <c r="Y17" s="38"/>
      <c r="Z17" s="39"/>
      <c r="AA17" s="39"/>
      <c r="AB17" s="39"/>
      <c r="AC17" s="39"/>
      <c r="AD17" s="39"/>
      <c r="AE17" s="39"/>
      <c r="AF17" s="39"/>
    </row>
    <row r="18" spans="1:32" ht="15.75" customHeight="1">
      <c r="A18" s="92"/>
      <c r="B18" s="75"/>
      <c r="C18" s="522" t="s">
        <v>187</v>
      </c>
      <c r="D18" s="522"/>
      <c r="E18" s="522"/>
      <c r="F18" s="522"/>
      <c r="G18" s="522"/>
      <c r="H18" s="62"/>
      <c r="I18" s="222">
        <f>'I. ESG Factors Report - FI (1)'!I18</f>
        <v>0</v>
      </c>
      <c r="J18" s="223"/>
      <c r="K18" s="224">
        <f>'I. ESG Factors Report - FI (1)'!K18</f>
        <v>0</v>
      </c>
      <c r="L18" s="60"/>
      <c r="M18" s="62"/>
      <c r="N18" s="60"/>
      <c r="O18" s="62"/>
      <c r="P18" s="60"/>
      <c r="Q18" s="60"/>
      <c r="R18" s="36"/>
      <c r="S18" s="92"/>
      <c r="T18" s="123"/>
      <c r="U18" s="123"/>
      <c r="V18" s="92"/>
      <c r="W18" s="92"/>
      <c r="X18" s="92"/>
      <c r="Y18" s="38"/>
      <c r="Z18" s="39"/>
      <c r="AA18" s="39"/>
      <c r="AB18" s="39"/>
      <c r="AC18" s="39"/>
      <c r="AD18" s="39"/>
      <c r="AE18" s="39"/>
      <c r="AF18" s="39"/>
    </row>
    <row r="19" spans="1:32" ht="15.75" customHeight="1">
      <c r="A19" s="92"/>
      <c r="B19" s="75"/>
      <c r="C19" s="523" t="s">
        <v>188</v>
      </c>
      <c r="D19" s="523"/>
      <c r="E19" s="523"/>
      <c r="F19" s="523"/>
      <c r="G19" s="523"/>
      <c r="H19" s="62"/>
      <c r="I19" s="219">
        <f>'I. ESG Factors Report - FI (1)'!I19</f>
        <v>25</v>
      </c>
      <c r="J19" s="60"/>
      <c r="K19" s="225">
        <f>'I. ESG Factors Report - FI (1)'!K19</f>
        <v>1</v>
      </c>
      <c r="L19" s="60"/>
      <c r="M19" s="62"/>
      <c r="N19" s="60"/>
      <c r="O19" s="62"/>
      <c r="P19" s="60"/>
      <c r="Q19" s="60"/>
      <c r="R19" s="36"/>
      <c r="S19" s="499" t="s">
        <v>189</v>
      </c>
      <c r="T19" s="500"/>
      <c r="U19" s="501"/>
      <c r="V19" s="92"/>
      <c r="W19" s="492" t="str">
        <f>IF($I$10=" &lt;&lt;&lt; Select Index &gt;&gt;&gt;","",IF(ISERROR(VLOOKUP($I$10&amp;$I$12,'Database - FI'!$B:$DG,110,FALSE))=TRUE,"†",IF(ISBLANK((VLOOKUP($I$10&amp;$I$12,'Database - FI'!$B:$DG,110,FALSE))),"",VLOOKUP($I$10&amp;$I$12,'Database - FI'!$B:$DG,110,FALSE))))</f>
        <v>Sustainalytics</v>
      </c>
      <c r="X19" s="493"/>
      <c r="Y19" s="494"/>
      <c r="Z19" s="39"/>
      <c r="AA19" s="39"/>
      <c r="AB19" s="39"/>
      <c r="AC19" s="39"/>
      <c r="AD19" s="39"/>
      <c r="AE19" s="39"/>
      <c r="AF19" s="39"/>
    </row>
    <row r="20" spans="1:32" ht="18" customHeight="1">
      <c r="A20" s="92"/>
      <c r="B20" s="75"/>
      <c r="C20" s="5"/>
      <c r="D20" s="5"/>
      <c r="E20" s="92"/>
      <c r="F20" s="92"/>
      <c r="G20" s="92"/>
      <c r="H20" s="92"/>
      <c r="I20" s="92"/>
      <c r="J20" s="60"/>
      <c r="K20" s="60"/>
      <c r="L20" s="60"/>
      <c r="M20" s="62"/>
      <c r="N20" s="60"/>
      <c r="O20" s="62"/>
      <c r="P20" s="60"/>
      <c r="Q20" s="60"/>
      <c r="R20" s="36"/>
      <c r="S20" s="92"/>
      <c r="T20" s="123"/>
      <c r="U20" s="123"/>
      <c r="V20" s="92"/>
      <c r="W20" s="92"/>
      <c r="X20" s="92"/>
      <c r="Y20" s="38"/>
      <c r="Z20" s="39"/>
      <c r="AA20" s="39"/>
      <c r="AB20" s="39"/>
      <c r="AC20" s="39"/>
      <c r="AD20" s="39"/>
      <c r="AE20" s="39"/>
      <c r="AF20" s="39"/>
    </row>
    <row r="21" spans="1:32" s="147" customFormat="1" ht="18">
      <c r="A21" s="115"/>
      <c r="B21" s="265" t="s">
        <v>94</v>
      </c>
      <c r="C21" s="266"/>
      <c r="D21" s="266"/>
      <c r="E21" s="267"/>
      <c r="F21" s="267"/>
      <c r="G21" s="267"/>
      <c r="H21" s="267"/>
      <c r="I21" s="267"/>
      <c r="J21" s="267"/>
      <c r="K21" s="267"/>
      <c r="L21" s="267"/>
      <c r="M21" s="267"/>
      <c r="N21" s="267"/>
      <c r="O21" s="267"/>
      <c r="P21" s="267"/>
      <c r="Q21" s="266"/>
      <c r="R21" s="267"/>
      <c r="S21" s="267"/>
      <c r="T21" s="267"/>
      <c r="U21" s="267"/>
      <c r="V21" s="267"/>
      <c r="W21" s="267"/>
      <c r="X21" s="267"/>
      <c r="Y21" s="267"/>
      <c r="Z21" s="115"/>
    </row>
    <row r="22" spans="1:32" ht="7.5" customHeight="1">
      <c r="A22" s="92"/>
      <c r="B22" s="92"/>
      <c r="C22" s="92"/>
      <c r="D22" s="92"/>
      <c r="E22" s="92"/>
      <c r="F22" s="92"/>
      <c r="G22" s="92"/>
      <c r="H22" s="92"/>
      <c r="I22" s="92"/>
      <c r="J22" s="92"/>
      <c r="K22" s="92"/>
      <c r="L22" s="92"/>
      <c r="M22" s="92"/>
      <c r="N22" s="92"/>
      <c r="O22" s="92"/>
      <c r="P22" s="92"/>
      <c r="Q22" s="92"/>
      <c r="R22" s="92"/>
      <c r="S22" s="92"/>
      <c r="T22" s="92"/>
      <c r="U22" s="92"/>
      <c r="V22" s="92"/>
      <c r="W22" s="92"/>
      <c r="X22" s="92"/>
      <c r="Y22" s="92"/>
      <c r="Z22" s="92"/>
    </row>
    <row r="23" spans="1:32" ht="38.25" customHeight="1">
      <c r="A23" s="92"/>
      <c r="B23" s="355" t="s">
        <v>190</v>
      </c>
      <c r="C23" s="355"/>
      <c r="D23" s="355"/>
      <c r="E23" s="229"/>
      <c r="F23" s="521" t="s">
        <v>191</v>
      </c>
      <c r="G23" s="521"/>
      <c r="H23" s="521"/>
      <c r="I23" s="521"/>
      <c r="J23" s="521"/>
      <c r="K23" s="521"/>
      <c r="L23" s="92"/>
      <c r="M23" s="230" t="s">
        <v>192</v>
      </c>
      <c r="N23" s="92"/>
      <c r="O23" s="268" t="s">
        <v>44</v>
      </c>
      <c r="P23" s="92"/>
      <c r="Q23" s="485" t="s">
        <v>47</v>
      </c>
      <c r="R23" s="485"/>
      <c r="S23" s="485"/>
      <c r="T23" s="485"/>
      <c r="U23" s="485"/>
      <c r="V23" s="485"/>
      <c r="W23" s="485"/>
      <c r="X23" s="485"/>
      <c r="Y23" s="485"/>
      <c r="Z23" s="92"/>
    </row>
    <row r="24" spans="1:32" ht="7.5" customHeight="1">
      <c r="A24" s="92"/>
      <c r="B24" s="92"/>
      <c r="C24" s="92"/>
      <c r="D24" s="92"/>
      <c r="E24" s="92"/>
      <c r="F24" s="92"/>
      <c r="G24" s="92"/>
      <c r="H24" s="92"/>
      <c r="I24" s="92"/>
      <c r="J24" s="92"/>
      <c r="K24" s="92"/>
      <c r="L24" s="92"/>
      <c r="M24" s="92"/>
      <c r="N24" s="92"/>
      <c r="O24" s="92"/>
      <c r="P24" s="92"/>
      <c r="Q24" s="92"/>
      <c r="R24" s="92"/>
      <c r="S24" s="75"/>
      <c r="T24" s="75"/>
      <c r="U24" s="75"/>
      <c r="V24" s="92"/>
      <c r="W24" s="92"/>
      <c r="X24" s="92"/>
      <c r="Y24" s="92"/>
      <c r="Z24" s="92"/>
    </row>
    <row r="25" spans="1:32" ht="32.25" customHeight="1">
      <c r="A25" s="92"/>
      <c r="B25" s="468" t="s">
        <v>224</v>
      </c>
      <c r="C25" s="468"/>
      <c r="D25" s="468"/>
      <c r="E25" s="92"/>
      <c r="F25" s="486" t="s">
        <v>225</v>
      </c>
      <c r="G25" s="487"/>
      <c r="H25" s="487"/>
      <c r="I25" s="487"/>
      <c r="J25" s="487"/>
      <c r="K25" s="488"/>
      <c r="L25" s="66"/>
      <c r="M25" s="251" t="str">
        <f>IF($I$14="Sovereign Debt","N/A",IF($I$10=" &lt;&lt;&lt; Select Index &gt;&gt;&gt;","",IF(ISERROR(VLOOKUP($I$10&amp;$I$12,'Database - FI'!$B:$DC,76,FALSE))=TRUE,"†",IF(ISBLANK((VLOOKUP($I$10&amp;$I$12,'Database - FI'!$B:$DC,76,FALSE))),"",VLOOKUP($I$10&amp;$I$12,'Database - FI'!$B:$DC,76,FALSE)))))</f>
        <v>N/A</v>
      </c>
      <c r="N25" s="67"/>
      <c r="O25" s="269" t="s">
        <v>226</v>
      </c>
      <c r="P25" s="92"/>
      <c r="Q25" s="461" t="s">
        <v>227</v>
      </c>
      <c r="R25" s="462"/>
      <c r="S25" s="462"/>
      <c r="T25" s="462"/>
      <c r="U25" s="462"/>
      <c r="V25" s="462"/>
      <c r="W25" s="462"/>
      <c r="X25" s="462"/>
      <c r="Y25" s="463"/>
      <c r="Z25" s="92"/>
    </row>
    <row r="26" spans="1:32" ht="7.5" customHeight="1">
      <c r="A26" s="92"/>
      <c r="B26" s="92"/>
      <c r="C26" s="92"/>
      <c r="D26" s="92"/>
      <c r="E26" s="92"/>
      <c r="F26" s="234"/>
      <c r="G26" s="234"/>
      <c r="H26" s="234"/>
      <c r="I26" s="234"/>
      <c r="J26" s="234"/>
      <c r="K26" s="234"/>
      <c r="L26" s="92"/>
      <c r="M26" s="92"/>
      <c r="N26" s="92"/>
      <c r="O26" s="235"/>
      <c r="P26" s="92"/>
      <c r="Q26" s="92"/>
      <c r="R26" s="92"/>
      <c r="S26" s="92"/>
      <c r="T26" s="92"/>
      <c r="U26" s="92"/>
      <c r="V26" s="92"/>
      <c r="W26" s="92"/>
      <c r="X26" s="92"/>
      <c r="Y26" s="92"/>
      <c r="Z26" s="92"/>
    </row>
    <row r="27" spans="1:32" ht="32.25" customHeight="1">
      <c r="A27" s="92"/>
      <c r="B27" s="468" t="s">
        <v>224</v>
      </c>
      <c r="C27" s="468"/>
      <c r="D27" s="468"/>
      <c r="E27" s="92"/>
      <c r="F27" s="486" t="s">
        <v>103</v>
      </c>
      <c r="G27" s="487"/>
      <c r="H27" s="487"/>
      <c r="I27" s="487"/>
      <c r="J27" s="487"/>
      <c r="K27" s="488"/>
      <c r="L27" s="66"/>
      <c r="M27" s="270" t="str">
        <f>IF($I$14="Sovereign Debt","N/A",IF($I$10=" &lt;&lt;&lt; Select Index &gt;&gt;&gt;","",IF(ISERROR(VLOOKUP($I$10&amp;$I$12,'Database - FI'!$B:$DC,79,FALSE))=TRUE,"†",IF(ISBLANK((VLOOKUP($I$10&amp;$I$12,'Database - FI'!$B:$DC,79,FALSE))),"",VLOOKUP($I$10&amp;$I$12,'Database - FI'!$B:$DC,79,FALSE)))))</f>
        <v>N/A</v>
      </c>
      <c r="N27" s="67"/>
      <c r="O27" s="269" t="s">
        <v>228</v>
      </c>
      <c r="P27" s="92"/>
      <c r="Q27" s="461" t="s">
        <v>229</v>
      </c>
      <c r="R27" s="462"/>
      <c r="S27" s="462"/>
      <c r="T27" s="462"/>
      <c r="U27" s="462"/>
      <c r="V27" s="462"/>
      <c r="W27" s="462"/>
      <c r="X27" s="462"/>
      <c r="Y27" s="463"/>
      <c r="Z27" s="92"/>
    </row>
    <row r="28" spans="1:32" ht="7.5" customHeight="1">
      <c r="A28" s="92"/>
      <c r="B28" s="92"/>
      <c r="C28" s="92"/>
      <c r="D28" s="92"/>
      <c r="E28" s="92"/>
      <c r="F28" s="234"/>
      <c r="G28" s="234"/>
      <c r="H28" s="234"/>
      <c r="I28" s="234"/>
      <c r="J28" s="234"/>
      <c r="K28" s="234"/>
      <c r="L28" s="92"/>
      <c r="M28" s="92"/>
      <c r="N28" s="92"/>
      <c r="O28" s="75"/>
      <c r="P28" s="92"/>
      <c r="Q28" s="92"/>
      <c r="R28" s="92"/>
      <c r="S28" s="92"/>
      <c r="T28" s="92"/>
      <c r="U28" s="92"/>
      <c r="V28" s="92"/>
      <c r="W28" s="92"/>
      <c r="X28" s="92"/>
      <c r="Y28" s="92"/>
      <c r="Z28" s="92"/>
    </row>
    <row r="29" spans="1:32" ht="14.25" customHeight="1">
      <c r="A29" s="92"/>
      <c r="B29" s="92"/>
      <c r="C29" s="92"/>
      <c r="D29" s="92"/>
      <c r="E29" s="92"/>
      <c r="F29" s="234"/>
      <c r="G29" s="234"/>
      <c r="H29" s="92"/>
      <c r="I29" s="455" t="s">
        <v>194</v>
      </c>
      <c r="J29" s="455"/>
      <c r="K29" s="455"/>
      <c r="L29" s="92"/>
      <c r="M29" s="236" t="str">
        <f>IF($I$14="Sovereign Debt","",IF($I$10=" &lt;&lt;&lt; Select Index &gt;&gt;&gt;","",IF(ISERROR(VLOOKUP($I$10&amp;$I$12,'Database - FI'!$B:$DC,78,FALSE))=TRUE,"†",IF(ISBLANK((VLOOKUP($I$10&amp;$I$12,'Database - FI'!$B:$DC,78,FALSE))),"",VLOOKUP($I$10&amp;$I$12,'Database - FI'!$B:$DC,78,FALSE)))))</f>
        <v/>
      </c>
      <c r="N29" s="92"/>
      <c r="O29" s="75"/>
      <c r="P29" s="92"/>
      <c r="Q29" s="92"/>
      <c r="R29" s="92"/>
      <c r="S29" s="92"/>
      <c r="T29" s="92"/>
      <c r="U29" s="92"/>
      <c r="V29" s="92"/>
      <c r="W29" s="92"/>
      <c r="X29" s="92"/>
      <c r="Y29" s="92"/>
      <c r="Z29" s="92"/>
    </row>
    <row r="30" spans="1:32" ht="14.25" customHeight="1">
      <c r="A30" s="92"/>
      <c r="B30" s="92"/>
      <c r="C30" s="92"/>
      <c r="D30" s="92"/>
      <c r="E30" s="92"/>
      <c r="F30" s="234"/>
      <c r="G30" s="234"/>
      <c r="H30" s="92"/>
      <c r="I30" s="455" t="s">
        <v>195</v>
      </c>
      <c r="J30" s="455"/>
      <c r="K30" s="455"/>
      <c r="L30" s="92"/>
      <c r="M30" s="237" t="str">
        <f>IF($I$14="Sovereign Debt","",IF($I$10=" &lt;&lt;&lt; Select Index &gt;&gt;&gt;","",IF(ISERROR(VLOOKUP($I$10&amp;$I$12,'Database - FI'!$B:$DC,77,FALSE))=TRUE,"†",IF(ISBLANK((VLOOKUP($I$10&amp;$I$12,'Database - FI'!$B:$DC,77,FALSE))),"",VLOOKUP($I$10&amp;$I$12,'Database - FI'!$B:$DC,77,FALSE)))))</f>
        <v/>
      </c>
      <c r="N30" s="92"/>
      <c r="O30" s="75"/>
      <c r="P30" s="92"/>
      <c r="Q30" s="92"/>
      <c r="R30" s="92"/>
      <c r="S30" s="92"/>
      <c r="T30" s="92"/>
      <c r="U30" s="92"/>
      <c r="V30" s="92"/>
      <c r="W30" s="92"/>
      <c r="X30" s="92"/>
      <c r="Y30" s="92"/>
      <c r="Z30" s="92"/>
    </row>
    <row r="31" spans="1:32" ht="17.25" customHeight="1">
      <c r="A31" s="92"/>
      <c r="B31" s="92"/>
      <c r="C31" s="92"/>
      <c r="D31" s="92"/>
      <c r="E31" s="92"/>
      <c r="F31" s="234"/>
      <c r="G31" s="234"/>
      <c r="H31" s="234"/>
      <c r="I31" s="234"/>
      <c r="J31" s="234"/>
      <c r="K31" s="234"/>
      <c r="L31" s="92"/>
      <c r="M31" s="92"/>
      <c r="N31" s="92"/>
      <c r="O31" s="75"/>
      <c r="P31" s="92"/>
      <c r="Q31" s="92"/>
      <c r="R31" s="92"/>
      <c r="S31" s="92"/>
      <c r="T31" s="92"/>
      <c r="U31" s="92"/>
      <c r="V31" s="92"/>
      <c r="W31" s="92"/>
      <c r="X31" s="92"/>
      <c r="Y31" s="92"/>
      <c r="Z31" s="92"/>
    </row>
    <row r="32" spans="1:32" ht="44.25" customHeight="1">
      <c r="A32" s="92"/>
      <c r="B32" s="472" t="s">
        <v>224</v>
      </c>
      <c r="C32" s="472"/>
      <c r="D32" s="472"/>
      <c r="E32" s="92"/>
      <c r="F32" s="513" t="s">
        <v>230</v>
      </c>
      <c r="G32" s="513"/>
      <c r="H32" s="513"/>
      <c r="I32" s="513"/>
      <c r="J32" s="513"/>
      <c r="K32" s="518"/>
      <c r="L32" s="66"/>
      <c r="M32" s="271" t="str">
        <f>IF($I$14="Sovereign Debt","N/A",IF($I$10=" &lt;&lt;&lt; Select Index &gt;&gt;&gt;","",IF(ISERROR(VLOOKUP($I$10&amp;$I$12,'Database - FI'!$B:$DC,82,FALSE))=TRUE,"†",IF(ISBLANK((VLOOKUP($I$10&amp;$I$12,'Database - FI'!$B:$DC,82,FALSE))),"",VLOOKUP($I$10&amp;$I$12,'Database - FI'!$B:$DC,82,FALSE)))))</f>
        <v>N/A</v>
      </c>
      <c r="N32" s="67"/>
      <c r="O32" s="269" t="s">
        <v>231</v>
      </c>
      <c r="P32" s="92"/>
      <c r="Q32" s="461" t="str">
        <f>IF(W19="MSCI",REF!BH5,REF!BH4)</f>
        <v>The count of constituents classified in the Sustainalytics Global Standards Screening dataset as 'Non-compliant' with, or in violation of, any of the ten principles of the UNGC, ILO's Conventions, the UN Guiding Principles or Business and Human Rights, and Chapters of the OECD Guidelines for Multinational Enterprises.</v>
      </c>
      <c r="R32" s="462"/>
      <c r="S32" s="462"/>
      <c r="T32" s="462"/>
      <c r="U32" s="462"/>
      <c r="V32" s="462"/>
      <c r="W32" s="462"/>
      <c r="X32" s="462"/>
      <c r="Y32" s="463"/>
      <c r="Z32" s="92"/>
    </row>
    <row r="33" spans="1:26" ht="44.25" customHeight="1">
      <c r="A33" s="92"/>
      <c r="B33" s="474"/>
      <c r="C33" s="474"/>
      <c r="D33" s="474"/>
      <c r="E33" s="92"/>
      <c r="F33" s="519"/>
      <c r="G33" s="519"/>
      <c r="H33" s="519"/>
      <c r="I33" s="519"/>
      <c r="J33" s="519"/>
      <c r="K33" s="520"/>
      <c r="L33" s="66"/>
      <c r="M33" s="272" t="str">
        <f>IF($I$14="Sovereign Debt","N/A",IF($I$10=" &lt;&lt;&lt; Select Index &gt;&gt;&gt;","",M32/I16))</f>
        <v>N/A</v>
      </c>
      <c r="N33" s="67"/>
      <c r="O33" s="269" t="s">
        <v>232</v>
      </c>
      <c r="P33" s="92"/>
      <c r="Q33" s="461" t="str">
        <f>IF(W19="MSCI",REF!BI5,REF!BI4)</f>
        <v>The count of constituents classified in the Sustainalytics Global Standards Screening dataset as 'Non-compliant' with, or in violation of, any of the ten principles of the UNGC, ILO's Conventions, the UN Guiding Principles or Business and Human Rights, and Chapters of the OECD Guidelines for Multinational Enterprises, divided by the total constituent count.</v>
      </c>
      <c r="R33" s="462"/>
      <c r="S33" s="462"/>
      <c r="T33" s="462"/>
      <c r="U33" s="462"/>
      <c r="V33" s="462"/>
      <c r="W33" s="462"/>
      <c r="X33" s="462"/>
      <c r="Y33" s="463"/>
      <c r="Z33" s="92"/>
    </row>
    <row r="34" spans="1:26" ht="7.5" customHeight="1">
      <c r="A34" s="92"/>
      <c r="B34" s="92"/>
      <c r="C34" s="92"/>
      <c r="D34" s="92"/>
      <c r="E34" s="92"/>
      <c r="F34" s="234"/>
      <c r="G34" s="234"/>
      <c r="H34" s="234"/>
      <c r="I34" s="234"/>
      <c r="J34" s="234"/>
      <c r="K34" s="234"/>
      <c r="L34" s="92"/>
      <c r="M34" s="92"/>
      <c r="N34" s="92"/>
      <c r="O34" s="75"/>
      <c r="P34" s="92"/>
      <c r="Q34" s="92"/>
      <c r="R34" s="92"/>
      <c r="S34" s="92"/>
      <c r="T34" s="92"/>
      <c r="U34" s="92"/>
      <c r="V34" s="92"/>
      <c r="W34" s="92"/>
      <c r="X34" s="92"/>
      <c r="Y34" s="92"/>
      <c r="Z34" s="92"/>
    </row>
    <row r="35" spans="1:26" ht="14.25" customHeight="1">
      <c r="A35" s="92"/>
      <c r="B35" s="92"/>
      <c r="C35" s="92"/>
      <c r="D35" s="92"/>
      <c r="E35" s="92"/>
      <c r="F35" s="234"/>
      <c r="G35" s="234"/>
      <c r="H35" s="234"/>
      <c r="I35" s="455" t="s">
        <v>194</v>
      </c>
      <c r="J35" s="455"/>
      <c r="K35" s="455"/>
      <c r="L35" s="92"/>
      <c r="M35" s="236" t="str">
        <f>IF($I$14="Sovereign Debt","",IF($I$10=" &lt;&lt;&lt; Select Index &gt;&gt;&gt;","",IF(ISERROR(VLOOKUP($I$10&amp;$I$12,'Database - FI'!$B:$DC,84,FALSE))=TRUE,"†",IF(ISBLANK((VLOOKUP($I$10&amp;$I$12,'Database - FI'!$B:$DC,84,FALSE))),"",VLOOKUP($I$10&amp;$I$12,'Database - FI'!$B:$DC,84,FALSE)))))</f>
        <v/>
      </c>
      <c r="N35" s="92"/>
      <c r="O35" s="75"/>
      <c r="P35" s="92"/>
      <c r="Q35" s="92"/>
      <c r="R35" s="92"/>
      <c r="S35" s="92"/>
      <c r="T35" s="92"/>
      <c r="U35" s="92"/>
      <c r="V35" s="92"/>
      <c r="W35" s="92"/>
      <c r="X35" s="92"/>
      <c r="Y35" s="92"/>
      <c r="Z35" s="92"/>
    </row>
    <row r="36" spans="1:26" ht="14.25" customHeight="1">
      <c r="A36" s="92"/>
      <c r="B36" s="92"/>
      <c r="C36" s="92"/>
      <c r="D36" s="92"/>
      <c r="E36" s="92"/>
      <c r="F36" s="234"/>
      <c r="G36" s="234"/>
      <c r="H36" s="234"/>
      <c r="I36" s="455" t="s">
        <v>195</v>
      </c>
      <c r="J36" s="455"/>
      <c r="K36" s="455"/>
      <c r="L36" s="92"/>
      <c r="M36" s="237" t="str">
        <f>IF($I$14="Sovereign Debt","",IF($I$10=" &lt;&lt;&lt; Select Index &gt;&gt;&gt;","",IF(ISERROR(VLOOKUP($I$10&amp;$I$12,'Database - FI'!$B:$DC,83,FALSE))=TRUE,"†",IF(ISBLANK((VLOOKUP($I$10&amp;$I$12,'Database - FI'!$B:$DC,83,FALSE))),"",VLOOKUP($I$10&amp;$I$12,'Database - FI'!$B:$DC,83,FALSE)))))</f>
        <v/>
      </c>
      <c r="N36" s="92"/>
      <c r="O36" s="75"/>
      <c r="P36" s="92"/>
      <c r="Q36" s="92"/>
      <c r="R36" s="92"/>
      <c r="S36" s="92"/>
      <c r="T36" s="92"/>
      <c r="U36" s="92"/>
      <c r="V36" s="92"/>
      <c r="W36" s="92"/>
      <c r="X36" s="92"/>
      <c r="Y36" s="92"/>
      <c r="Z36" s="92"/>
    </row>
    <row r="37" spans="1:26" ht="17.25" customHeight="1">
      <c r="A37" s="92"/>
      <c r="B37" s="92"/>
      <c r="C37" s="92"/>
      <c r="D37" s="92"/>
      <c r="E37" s="92"/>
      <c r="F37" s="234"/>
      <c r="G37" s="234"/>
      <c r="H37" s="234"/>
      <c r="I37" s="234"/>
      <c r="J37" s="234"/>
      <c r="K37" s="234"/>
      <c r="L37" s="92"/>
      <c r="M37" s="92"/>
      <c r="N37" s="92"/>
      <c r="O37" s="75"/>
      <c r="P37" s="92"/>
      <c r="Q37" s="92"/>
      <c r="R37" s="92"/>
      <c r="S37" s="92"/>
      <c r="T37" s="92"/>
      <c r="U37" s="92"/>
      <c r="V37" s="92"/>
      <c r="W37" s="92"/>
      <c r="X37" s="92"/>
      <c r="Y37" s="92"/>
      <c r="Z37" s="92"/>
    </row>
    <row r="38" spans="1:26" ht="48.75" customHeight="1">
      <c r="A38" s="92"/>
      <c r="B38" s="468" t="s">
        <v>224</v>
      </c>
      <c r="C38" s="468"/>
      <c r="D38" s="468"/>
      <c r="E38" s="92"/>
      <c r="F38" s="486" t="s">
        <v>233</v>
      </c>
      <c r="G38" s="487"/>
      <c r="H38" s="487"/>
      <c r="I38" s="487"/>
      <c r="J38" s="487"/>
      <c r="K38" s="488"/>
      <c r="L38" s="66"/>
      <c r="M38" s="251" t="str">
        <f>IF($I$14="Sovereign Debt","N/A",IF($I$10=" &lt;&lt;&lt; Select Index &gt;&gt;&gt;","",IF(ISERROR(VLOOKUP($I$10&amp;$I$12,'Database - FI'!$B:$DC,91,FALSE))=TRUE,"†",IF(ISBLANK((VLOOKUP($I$10&amp;$I$12,'Database - FI'!$B:$DC,91,FALSE))),"",VLOOKUP($I$10&amp;$I$12,'Database - FI'!$B:$DC,91,FALSE)))))</f>
        <v>N/A</v>
      </c>
      <c r="N38" s="67"/>
      <c r="O38" s="269" t="s">
        <v>234</v>
      </c>
      <c r="P38" s="92"/>
      <c r="Q38" s="461" t="s">
        <v>235</v>
      </c>
      <c r="R38" s="462"/>
      <c r="S38" s="462"/>
      <c r="T38" s="462"/>
      <c r="U38" s="462"/>
      <c r="V38" s="462"/>
      <c r="W38" s="462"/>
      <c r="X38" s="462"/>
      <c r="Y38" s="463"/>
      <c r="Z38" s="92"/>
    </row>
    <row r="39" spans="1:26" ht="7.5" customHeight="1">
      <c r="A39" s="92"/>
      <c r="B39" s="92"/>
      <c r="C39" s="92"/>
      <c r="D39" s="92"/>
      <c r="E39" s="92"/>
      <c r="F39" s="234"/>
      <c r="G39" s="234"/>
      <c r="H39" s="234"/>
      <c r="I39" s="234"/>
      <c r="J39" s="234"/>
      <c r="K39" s="234"/>
      <c r="L39" s="92"/>
      <c r="M39" s="92"/>
      <c r="N39" s="92"/>
      <c r="O39" s="75"/>
      <c r="P39" s="92"/>
      <c r="Q39" s="92"/>
      <c r="R39" s="92"/>
      <c r="S39" s="92"/>
      <c r="T39" s="92"/>
      <c r="U39" s="92"/>
      <c r="V39" s="92"/>
      <c r="W39" s="92"/>
      <c r="X39" s="92"/>
      <c r="Y39" s="92"/>
      <c r="Z39" s="92"/>
    </row>
    <row r="40" spans="1:26" ht="14.25" customHeight="1">
      <c r="A40" s="92"/>
      <c r="B40" s="92"/>
      <c r="C40" s="92"/>
      <c r="D40" s="92"/>
      <c r="E40" s="92"/>
      <c r="F40" s="234"/>
      <c r="G40" s="234"/>
      <c r="H40" s="234"/>
      <c r="I40" s="455" t="s">
        <v>194</v>
      </c>
      <c r="J40" s="455"/>
      <c r="K40" s="455"/>
      <c r="L40" s="92"/>
      <c r="M40" s="236" t="str">
        <f>IF($I$14="Sovereign Debt","",IF($I$10=" &lt;&lt;&lt; Select Index &gt;&gt;&gt;","",IF(ISERROR(VLOOKUP($I$10&amp;$I$12,'Database - FI'!$B:$DC,93,FALSE))=TRUE,"†",IF(ISBLANK((VLOOKUP($I$10&amp;$I$12,'Database - FI'!$B:$DC,93,FALSE))),"",VLOOKUP($I$10&amp;$I$12,'Database - FI'!$B:$DC,93,FALSE)))))</f>
        <v/>
      </c>
      <c r="N40" s="92"/>
      <c r="O40" s="75"/>
      <c r="P40" s="92"/>
      <c r="Q40" s="92"/>
      <c r="R40" s="92"/>
      <c r="S40" s="92"/>
      <c r="T40" s="92"/>
      <c r="U40" s="92"/>
      <c r="V40" s="92"/>
      <c r="W40" s="92"/>
      <c r="X40" s="92"/>
      <c r="Y40" s="92"/>
      <c r="Z40" s="92"/>
    </row>
    <row r="41" spans="1:26" ht="14.25" customHeight="1">
      <c r="A41" s="92"/>
      <c r="B41" s="92"/>
      <c r="C41" s="92"/>
      <c r="D41" s="92"/>
      <c r="E41" s="92"/>
      <c r="F41" s="234"/>
      <c r="G41" s="234"/>
      <c r="H41" s="234"/>
      <c r="I41" s="455" t="s">
        <v>195</v>
      </c>
      <c r="J41" s="455"/>
      <c r="K41" s="455"/>
      <c r="L41" s="92"/>
      <c r="M41" s="237" t="str">
        <f>IF($I$14="Sovereign Debt","",IF($I$10=" &lt;&lt;&lt; Select Index &gt;&gt;&gt;","",IF(ISERROR(VLOOKUP($I$10&amp;$I$12,'Database - FI'!$B:$DC,92,FALSE))=TRUE,"†",IF(ISBLANK((VLOOKUP($I$10&amp;$I$12,'Database - FI'!$B:$DC,92,FALSE))),"",VLOOKUP($I$10&amp;$I$12,'Database - FI'!$B:$DC,92,FALSE)))))</f>
        <v/>
      </c>
      <c r="N41" s="92"/>
      <c r="O41" s="75"/>
      <c r="P41" s="92"/>
      <c r="Q41" s="92"/>
      <c r="R41" s="92"/>
      <c r="S41" s="92"/>
      <c r="T41" s="92"/>
      <c r="U41" s="92"/>
      <c r="V41" s="92"/>
      <c r="W41" s="92"/>
      <c r="X41" s="92"/>
      <c r="Y41" s="92"/>
      <c r="Z41" s="92"/>
    </row>
    <row r="42" spans="1:26" ht="17.25" customHeight="1">
      <c r="A42" s="92"/>
      <c r="B42" s="92"/>
      <c r="C42" s="92"/>
      <c r="D42" s="92"/>
      <c r="E42" s="92"/>
      <c r="F42" s="234"/>
      <c r="G42" s="234"/>
      <c r="H42" s="234"/>
      <c r="I42" s="234"/>
      <c r="J42" s="234"/>
      <c r="K42" s="234"/>
      <c r="L42" s="92"/>
      <c r="M42" s="92"/>
      <c r="N42" s="92"/>
      <c r="O42" s="75"/>
      <c r="P42" s="92"/>
      <c r="Q42" s="92"/>
      <c r="R42" s="92"/>
      <c r="S42" s="92"/>
      <c r="T42" s="92"/>
      <c r="U42" s="92"/>
      <c r="V42" s="92"/>
      <c r="W42" s="92"/>
      <c r="X42" s="92"/>
      <c r="Y42" s="92"/>
      <c r="Z42" s="92"/>
    </row>
    <row r="43" spans="1:26" ht="36" customHeight="1">
      <c r="A43" s="92"/>
      <c r="B43" s="468" t="s">
        <v>224</v>
      </c>
      <c r="C43" s="468"/>
      <c r="D43" s="468"/>
      <c r="E43" s="92"/>
      <c r="F43" s="486" t="s">
        <v>119</v>
      </c>
      <c r="G43" s="487"/>
      <c r="H43" s="487"/>
      <c r="I43" s="487"/>
      <c r="J43" s="487"/>
      <c r="K43" s="488"/>
      <c r="L43" s="66"/>
      <c r="M43" s="251" t="str">
        <f>IF($I$14="Sovereign Debt","N/A",IF($I$10=" &lt;&lt;&lt; Select Index &gt;&gt;&gt;","",IF(ISERROR(VLOOKUP($I$10&amp;$I$12,'Database - FI'!$B:$DC,30,FALSE))=TRUE,"†",IF(ISBLANK((VLOOKUP($I$10&amp;$I$12,'Database - FI'!$B:$DC,30,FALSE))),"",VLOOKUP($I$10&amp;$I$12,'Database - FI'!$B:$DC,30,FALSE)))))</f>
        <v>N/A</v>
      </c>
      <c r="N43" s="67"/>
      <c r="O43" s="269" t="s">
        <v>236</v>
      </c>
      <c r="P43" s="92"/>
      <c r="Q43" s="461" t="s">
        <v>237</v>
      </c>
      <c r="R43" s="462"/>
      <c r="S43" s="462"/>
      <c r="T43" s="462"/>
      <c r="U43" s="462"/>
      <c r="V43" s="462"/>
      <c r="W43" s="462"/>
      <c r="X43" s="462"/>
      <c r="Y43" s="463"/>
      <c r="Z43" s="92"/>
    </row>
    <row r="44" spans="1:26" ht="7.5" customHeight="1">
      <c r="A44" s="92"/>
      <c r="B44" s="92"/>
      <c r="C44" s="92"/>
      <c r="D44" s="92"/>
      <c r="E44" s="92"/>
      <c r="F44" s="92"/>
      <c r="G44" s="92"/>
      <c r="H44" s="92"/>
      <c r="I44" s="92"/>
      <c r="J44" s="92"/>
      <c r="K44" s="92"/>
      <c r="L44" s="92"/>
      <c r="M44" s="92"/>
      <c r="N44" s="92"/>
      <c r="O44" s="75"/>
      <c r="P44" s="92"/>
      <c r="Q44" s="92"/>
      <c r="R44" s="92"/>
      <c r="S44" s="92"/>
      <c r="T44" s="92"/>
      <c r="U44" s="92"/>
      <c r="V44" s="92"/>
      <c r="W44" s="92"/>
      <c r="X44" s="92"/>
      <c r="Y44" s="92"/>
      <c r="Z44" s="92"/>
    </row>
    <row r="45" spans="1:26" ht="15" customHeight="1">
      <c r="A45" s="92"/>
      <c r="B45" s="92"/>
      <c r="C45" s="92"/>
      <c r="D45" s="92"/>
      <c r="E45" s="92"/>
      <c r="F45" s="92"/>
      <c r="G45" s="242"/>
      <c r="H45" s="92"/>
      <c r="I45" s="455" t="s">
        <v>194</v>
      </c>
      <c r="J45" s="455"/>
      <c r="K45" s="455"/>
      <c r="L45" s="92"/>
      <c r="M45" s="236" t="str">
        <f>IF($I$14="Sovereign Debt","",IF($I$10=" &lt;&lt;&lt; Select Index &gt;&gt;&gt;","",IF(ISERROR(VLOOKUP($I$10&amp;$I$12,'Database - FI'!$B:$DC,32,FALSE))=TRUE,"†",IF(ISBLANK((VLOOKUP($I$10&amp;$I$12,'Database - FI'!$B:$DC,32,FALSE))),"",VLOOKUP($I$10&amp;$I$12,'Database - FI'!$B:$DC,32,FALSE)))))</f>
        <v/>
      </c>
      <c r="N45" s="75"/>
      <c r="O45" s="75"/>
      <c r="P45" s="92"/>
      <c r="Q45" s="92"/>
      <c r="R45" s="92"/>
      <c r="S45" s="92"/>
      <c r="T45" s="92"/>
      <c r="U45" s="92"/>
      <c r="V45" s="92"/>
      <c r="W45" s="92"/>
      <c r="X45" s="92"/>
      <c r="Y45" s="92"/>
      <c r="Z45" s="92"/>
    </row>
    <row r="46" spans="1:26" ht="14.25" customHeight="1">
      <c r="A46" s="92"/>
      <c r="B46" s="92"/>
      <c r="C46" s="92"/>
      <c r="D46" s="92"/>
      <c r="E46" s="92"/>
      <c r="F46" s="92"/>
      <c r="G46" s="92"/>
      <c r="H46" s="92"/>
      <c r="I46" s="455" t="s">
        <v>195</v>
      </c>
      <c r="J46" s="455"/>
      <c r="K46" s="455"/>
      <c r="L46" s="92"/>
      <c r="M46" s="237" t="str">
        <f>IF($I$14="Sovereign Debt","",IF($I$10=" &lt;&lt;&lt; Select Index &gt;&gt;&gt;","",IF(ISERROR(VLOOKUP($I$10&amp;$I$12,'Database - FI'!$B:$DC,31,FALSE))=TRUE,"†",IF(ISBLANK((VLOOKUP($I$10&amp;$I$12,'Database - FI'!$B:$DC,31,FALSE))),"",VLOOKUP($I$10&amp;$I$12,'Database - FI'!$B:$DC,31,FALSE)))))</f>
        <v/>
      </c>
      <c r="N46" s="75"/>
      <c r="O46" s="75"/>
      <c r="P46" s="92"/>
      <c r="Q46" s="92"/>
      <c r="R46" s="92"/>
      <c r="S46" s="92"/>
      <c r="T46" s="92"/>
      <c r="U46" s="92"/>
      <c r="V46" s="92"/>
      <c r="W46" s="92"/>
      <c r="X46" s="92"/>
      <c r="Y46" s="92"/>
      <c r="Z46" s="92"/>
    </row>
    <row r="47" spans="1:26" ht="18" customHeight="1">
      <c r="A47" s="92"/>
      <c r="B47" s="92"/>
      <c r="C47" s="92"/>
      <c r="D47" s="92"/>
      <c r="E47" s="92"/>
      <c r="F47" s="92"/>
      <c r="G47" s="92"/>
      <c r="H47" s="92"/>
      <c r="I47" s="92"/>
      <c r="J47" s="92"/>
      <c r="K47" s="92"/>
      <c r="L47" s="92"/>
      <c r="M47" s="92"/>
      <c r="N47" s="92"/>
      <c r="O47" s="75"/>
      <c r="P47" s="92"/>
      <c r="Q47" s="92"/>
      <c r="R47" s="92"/>
      <c r="S47" s="92"/>
      <c r="T47" s="92"/>
      <c r="U47" s="92"/>
      <c r="V47" s="92"/>
      <c r="W47" s="92"/>
      <c r="X47" s="92"/>
      <c r="Y47" s="92"/>
      <c r="Z47" s="92"/>
    </row>
    <row r="48" spans="1:26" ht="36" customHeight="1">
      <c r="A48" s="92"/>
      <c r="B48" s="468" t="s">
        <v>224</v>
      </c>
      <c r="C48" s="468"/>
      <c r="D48" s="468"/>
      <c r="E48" s="92"/>
      <c r="F48" s="486" t="s">
        <v>124</v>
      </c>
      <c r="G48" s="487"/>
      <c r="H48" s="487"/>
      <c r="I48" s="487"/>
      <c r="J48" s="487"/>
      <c r="K48" s="488"/>
      <c r="L48" s="66"/>
      <c r="M48" s="273" t="str">
        <f>IF($I$14="Sovereign Debt","N/A",IF($I$10=" &lt;&lt;&lt; Select Index &gt;&gt;&gt;","",IF(ISERROR(VLOOKUP($I$10&amp;$I$12,'Database - FI'!$B:$DC,100,FALSE))=TRUE,"†",IF(ISBLANK((VLOOKUP($I$10&amp;$I$12,'Database - FI'!$B:$DC,100,FALSE))),"",VLOOKUP($I$10&amp;$I$12,'Database - FI'!$B:$DC,100,FALSE)))))</f>
        <v>N/A</v>
      </c>
      <c r="N48" s="67"/>
      <c r="O48" s="269" t="s">
        <v>238</v>
      </c>
      <c r="P48" s="92"/>
      <c r="Q48" s="461" t="s">
        <v>239</v>
      </c>
      <c r="R48" s="462"/>
      <c r="S48" s="462"/>
      <c r="T48" s="462"/>
      <c r="U48" s="462"/>
      <c r="V48" s="462"/>
      <c r="W48" s="462"/>
      <c r="X48" s="462"/>
      <c r="Y48" s="463"/>
      <c r="Z48" s="92"/>
    </row>
    <row r="49" spans="1:27" ht="8.25" customHeight="1">
      <c r="A49" s="92"/>
      <c r="B49" s="92"/>
      <c r="C49" s="92"/>
      <c r="D49" s="92"/>
      <c r="E49" s="92"/>
      <c r="F49" s="234"/>
      <c r="G49" s="234"/>
      <c r="H49" s="234"/>
      <c r="I49" s="234"/>
      <c r="J49" s="234"/>
      <c r="K49" s="234"/>
      <c r="L49" s="92"/>
      <c r="M49" s="92"/>
      <c r="N49" s="92"/>
      <c r="O49" s="75"/>
      <c r="P49" s="92"/>
      <c r="Q49" s="92"/>
      <c r="R49" s="92"/>
      <c r="S49" s="92"/>
      <c r="T49" s="92"/>
      <c r="U49" s="92"/>
      <c r="V49" s="92"/>
      <c r="W49" s="92"/>
      <c r="X49" s="92"/>
      <c r="Y49" s="92"/>
      <c r="Z49" s="92"/>
    </row>
    <row r="50" spans="1:27" ht="15" customHeight="1">
      <c r="A50" s="92"/>
      <c r="B50" s="92"/>
      <c r="C50" s="92"/>
      <c r="D50" s="92"/>
      <c r="E50" s="92"/>
      <c r="F50" s="234"/>
      <c r="G50" s="234"/>
      <c r="H50" s="92"/>
      <c r="I50" s="455" t="s">
        <v>194</v>
      </c>
      <c r="J50" s="455"/>
      <c r="K50" s="455"/>
      <c r="L50" s="92"/>
      <c r="M50" s="236" t="str">
        <f>IF($I$14="Sovereign Debt","",IF($I$10=" &lt;&lt;&lt; Select Index &gt;&gt;&gt;","",IF(ISERROR(VLOOKUP($I$10&amp;$I$12,'Database - FI'!$B:$DC,102,FALSE))=TRUE,"†",IF(ISBLANK((VLOOKUP($I$10&amp;$I$12,'Database - FI'!$B:$DC,102,FALSE))),"",VLOOKUP($I$10&amp;$I$12,'Database - FI'!$B:$DC,102,FALSE)))))</f>
        <v/>
      </c>
      <c r="N50" s="92"/>
      <c r="O50" s="75"/>
      <c r="P50" s="92"/>
      <c r="Q50" s="92"/>
      <c r="R50" s="92"/>
      <c r="S50" s="92"/>
      <c r="T50" s="92"/>
      <c r="U50" s="92"/>
      <c r="V50" s="92"/>
      <c r="W50" s="92"/>
      <c r="X50" s="92"/>
      <c r="Y50" s="92"/>
      <c r="Z50" s="92"/>
    </row>
    <row r="51" spans="1:27" ht="15" customHeight="1">
      <c r="A51" s="92"/>
      <c r="B51" s="92"/>
      <c r="C51" s="92"/>
      <c r="D51" s="92"/>
      <c r="E51" s="92"/>
      <c r="F51" s="234"/>
      <c r="G51" s="234"/>
      <c r="H51" s="92"/>
      <c r="I51" s="455" t="s">
        <v>195</v>
      </c>
      <c r="J51" s="455"/>
      <c r="K51" s="455"/>
      <c r="L51" s="92"/>
      <c r="M51" s="237" t="str">
        <f>IF($I$14="Sovereign Debt","",IF($I$10=" &lt;&lt;&lt; Select Index &gt;&gt;&gt;","",IF(ISERROR(VLOOKUP($I$10&amp;$I$12,'Database - FI'!$B:$DC,101,FALSE))=TRUE,"†",IF(ISBLANK((VLOOKUP($I$10&amp;$I$12,'Database - FI'!$B:$DC,101,FALSE))),"",VLOOKUP($I$10&amp;$I$12,'Database - FI'!$B:$DC,101,FALSE)))))</f>
        <v/>
      </c>
      <c r="N51" s="92"/>
      <c r="O51" s="75"/>
      <c r="P51" s="92"/>
      <c r="Q51" s="92"/>
      <c r="R51" s="92"/>
      <c r="S51" s="92"/>
      <c r="T51" s="92"/>
      <c r="U51" s="92"/>
      <c r="V51" s="92"/>
      <c r="W51" s="92"/>
      <c r="X51" s="92"/>
      <c r="Y51" s="92"/>
      <c r="Z51" s="92"/>
    </row>
    <row r="52" spans="1:27" ht="15" customHeight="1">
      <c r="A52" s="92"/>
      <c r="B52" s="92"/>
      <c r="C52" s="92"/>
      <c r="D52" s="92"/>
      <c r="E52" s="92"/>
      <c r="F52" s="92"/>
      <c r="G52" s="92"/>
      <c r="H52" s="92"/>
      <c r="I52" s="92"/>
      <c r="J52" s="92"/>
      <c r="K52" s="92"/>
      <c r="L52" s="92"/>
      <c r="M52" s="75"/>
      <c r="N52" s="75"/>
      <c r="O52" s="75"/>
      <c r="P52" s="92"/>
      <c r="Q52" s="92"/>
      <c r="R52" s="92"/>
      <c r="S52" s="92"/>
      <c r="T52" s="92"/>
      <c r="U52" s="92"/>
      <c r="V52" s="92"/>
      <c r="W52" s="92"/>
      <c r="X52" s="92"/>
      <c r="Y52" s="92"/>
      <c r="Z52" s="92"/>
    </row>
    <row r="53" spans="1:27" ht="42" customHeight="1">
      <c r="A53" s="92"/>
      <c r="B53" s="468" t="s">
        <v>224</v>
      </c>
      <c r="C53" s="468"/>
      <c r="D53" s="468"/>
      <c r="E53" s="92"/>
      <c r="F53" s="486" t="s">
        <v>240</v>
      </c>
      <c r="G53" s="487"/>
      <c r="H53" s="487"/>
      <c r="I53" s="487"/>
      <c r="J53" s="487"/>
      <c r="K53" s="488"/>
      <c r="L53" s="66"/>
      <c r="M53" s="274" t="str">
        <f>IF($I$14="Sovereign Debt","N/A",IF($I$10=" &lt;&lt;&lt; Select Index &gt;&gt;&gt;","",IF(ISERROR(VLOOKUP($I$10&amp;$I$12,'Database - FI'!$B:$DC,33,FALSE))=TRUE,"†",IF(ISBLANK((VLOOKUP($I$10&amp;$I$12,'Database - FI'!$B:$DC,33,FALSE))),"",VLOOKUP($I$10&amp;$I$12,'Database - FI'!$B:$DC,33,FALSE)))))</f>
        <v>N/A</v>
      </c>
      <c r="N53" s="67"/>
      <c r="O53" s="269" t="s">
        <v>241</v>
      </c>
      <c r="P53" s="92"/>
      <c r="Q53" s="461" t="s">
        <v>242</v>
      </c>
      <c r="R53" s="462"/>
      <c r="S53" s="462"/>
      <c r="T53" s="462"/>
      <c r="U53" s="462"/>
      <c r="V53" s="462"/>
      <c r="W53" s="462"/>
      <c r="X53" s="462"/>
      <c r="Y53" s="463"/>
      <c r="Z53" s="92"/>
    </row>
    <row r="54" spans="1:27" ht="8.25" customHeight="1">
      <c r="A54" s="92"/>
      <c r="B54" s="92"/>
      <c r="C54" s="92"/>
      <c r="D54" s="92"/>
      <c r="E54" s="92"/>
      <c r="F54" s="234"/>
      <c r="G54" s="234"/>
      <c r="H54" s="234"/>
      <c r="I54" s="234"/>
      <c r="J54" s="234"/>
      <c r="K54" s="234"/>
      <c r="L54" s="92"/>
      <c r="M54" s="92"/>
      <c r="N54" s="92"/>
      <c r="O54" s="75"/>
      <c r="P54" s="92"/>
      <c r="Q54" s="92"/>
      <c r="R54" s="92"/>
      <c r="S54" s="92"/>
      <c r="T54" s="92"/>
      <c r="U54" s="92"/>
      <c r="V54" s="92"/>
      <c r="W54" s="92"/>
      <c r="X54" s="92"/>
      <c r="Y54" s="92"/>
      <c r="Z54" s="92"/>
    </row>
    <row r="55" spans="1:27" ht="15" customHeight="1">
      <c r="A55" s="92"/>
      <c r="B55" s="92"/>
      <c r="C55" s="92"/>
      <c r="D55" s="92"/>
      <c r="E55" s="92"/>
      <c r="F55" s="234"/>
      <c r="G55" s="234"/>
      <c r="H55" s="92"/>
      <c r="I55" s="455" t="s">
        <v>194</v>
      </c>
      <c r="J55" s="455"/>
      <c r="K55" s="455"/>
      <c r="L55" s="92"/>
      <c r="M55" s="236" t="str">
        <f>IF($I$14="Sovereign Debt","",IF($I$10=" &lt;&lt;&lt; Select Index &gt;&gt;&gt;","",IF(ISERROR(VLOOKUP($I$10&amp;$I$12,'Database - FI'!$B:$DC,35,FALSE))=TRUE,"†",IF(ISBLANK((VLOOKUP($I$10&amp;$I$12,'Database - FI'!$B:$DC,35,FALSE))),"",VLOOKUP($I$10&amp;$I$12,'Database - FI'!$B:$DC,35,FALSE)))))</f>
        <v/>
      </c>
      <c r="N55" s="92"/>
      <c r="O55" s="75"/>
      <c r="P55" s="92"/>
      <c r="Q55" s="92"/>
      <c r="R55" s="92"/>
      <c r="S55" s="92"/>
      <c r="T55" s="92"/>
      <c r="U55" s="92"/>
      <c r="V55" s="92"/>
      <c r="W55" s="92"/>
      <c r="X55" s="92"/>
      <c r="Y55" s="92"/>
      <c r="Z55" s="92"/>
    </row>
    <row r="56" spans="1:27" s="132" customFormat="1" ht="15" customHeight="1">
      <c r="A56" s="93"/>
      <c r="B56" s="92"/>
      <c r="C56" s="92"/>
      <c r="D56" s="92"/>
      <c r="E56" s="92"/>
      <c r="F56" s="234"/>
      <c r="G56" s="234"/>
      <c r="H56" s="92"/>
      <c r="I56" s="455" t="s">
        <v>195</v>
      </c>
      <c r="J56" s="455"/>
      <c r="K56" s="455"/>
      <c r="L56" s="92"/>
      <c r="M56" s="237" t="str">
        <f>IF($I$14="Sovereign Debt","",IF($I$10=" &lt;&lt;&lt; Select Index &gt;&gt;&gt;","",IF(ISERROR(VLOOKUP($I$10&amp;$I$12,'Database - FI'!$B:$DC,34,FALSE))=TRUE,"†",IF(ISBLANK((VLOOKUP($I$10&amp;$I$12,'Database - FI'!$B:$DC,34,FALSE))),"",VLOOKUP($I$10&amp;$I$12,'Database - FI'!$B:$DC,34,FALSE)))))</f>
        <v/>
      </c>
      <c r="N56" s="92"/>
      <c r="O56" s="75"/>
      <c r="P56" s="92"/>
      <c r="Q56" s="92"/>
      <c r="R56" s="92"/>
      <c r="S56" s="92"/>
      <c r="T56" s="92"/>
      <c r="U56" s="92"/>
      <c r="V56" s="92"/>
      <c r="W56" s="92"/>
      <c r="X56" s="92"/>
      <c r="Y56" s="92"/>
      <c r="Z56" s="93"/>
      <c r="AA56" s="116"/>
    </row>
    <row r="57" spans="1:27" s="132" customFormat="1" ht="18" customHeight="1">
      <c r="A57" s="93"/>
      <c r="B57" s="92"/>
      <c r="C57" s="92"/>
      <c r="D57" s="92"/>
      <c r="E57" s="92"/>
      <c r="F57" s="234"/>
      <c r="G57" s="234"/>
      <c r="H57" s="234"/>
      <c r="I57" s="234"/>
      <c r="J57" s="234"/>
      <c r="K57" s="234"/>
      <c r="L57" s="92"/>
      <c r="M57" s="92"/>
      <c r="N57" s="92"/>
      <c r="O57" s="75"/>
      <c r="P57" s="92"/>
      <c r="Q57" s="92"/>
      <c r="R57" s="92"/>
      <c r="S57" s="92"/>
      <c r="T57" s="92"/>
      <c r="U57" s="92"/>
      <c r="V57" s="92"/>
      <c r="W57" s="92"/>
      <c r="X57" s="92"/>
      <c r="Y57" s="92"/>
      <c r="Z57" s="93"/>
    </row>
    <row r="58" spans="1:27" s="132" customFormat="1" ht="36" customHeight="1">
      <c r="A58" s="93"/>
      <c r="B58" s="468" t="s">
        <v>224</v>
      </c>
      <c r="C58" s="468"/>
      <c r="D58" s="468"/>
      <c r="E58" s="92"/>
      <c r="F58" s="512" t="s">
        <v>243</v>
      </c>
      <c r="G58" s="513"/>
      <c r="H58" s="513"/>
      <c r="I58" s="513"/>
      <c r="J58" s="513"/>
      <c r="K58" s="514"/>
      <c r="L58" s="66"/>
      <c r="M58" s="275" t="str">
        <f>IF($I$14="Sovereign Debt","N/A",IF($I$10=" &lt;&lt;&lt; Select Index &gt;&gt;&gt;","",IF(ISERROR(VLOOKUP($I$10&amp;$I$12,'Database - FI'!$B:$DC,94,FALSE))=TRUE,"†",IF(ISBLANK((VLOOKUP($I$10&amp;$I$12,'Database - FI'!$B:$DC,94,FALSE))),"",VLOOKUP($I$10&amp;$I$12,'Database - FI'!$B:$DC,94,FALSE)))))</f>
        <v>N/A</v>
      </c>
      <c r="N58" s="67"/>
      <c r="O58" s="269" t="s">
        <v>244</v>
      </c>
      <c r="P58" s="92"/>
      <c r="Q58" s="461" t="s">
        <v>245</v>
      </c>
      <c r="R58" s="462"/>
      <c r="S58" s="462"/>
      <c r="T58" s="462"/>
      <c r="U58" s="462"/>
      <c r="V58" s="462"/>
      <c r="W58" s="462"/>
      <c r="X58" s="462"/>
      <c r="Y58" s="463"/>
      <c r="Z58" s="93"/>
    </row>
    <row r="59" spans="1:27" s="132" customFormat="1" ht="43.15" customHeight="1">
      <c r="A59" s="93"/>
      <c r="B59" s="254"/>
      <c r="C59" s="254"/>
      <c r="D59" s="254"/>
      <c r="E59" s="92"/>
      <c r="F59" s="515"/>
      <c r="G59" s="516"/>
      <c r="H59" s="516"/>
      <c r="I59" s="516"/>
      <c r="J59" s="516"/>
      <c r="K59" s="517"/>
      <c r="L59" s="66"/>
      <c r="M59" s="275" t="str">
        <f>IF($I$14="Sovereign Debt","N/A",IF($I$10=" &lt;&lt;&lt; Select Index &gt;&gt;&gt;","",IF(ISERROR(VLOOKUP($I$10&amp;$I$12,'Database - FI'!$B:$DC,97,FALSE))=TRUE,"†",IF(ISBLANK((VLOOKUP($I$10&amp;$I$12,'Database - FI'!$B:$DC,97,FALSE))),"",VLOOKUP($I$10&amp;$I$12,'Database - FI'!$B:$DC,97,FALSE)))))</f>
        <v>N/A</v>
      </c>
      <c r="N59" s="67"/>
      <c r="O59" s="269" t="s">
        <v>246</v>
      </c>
      <c r="P59" s="92"/>
      <c r="Q59" s="461" t="s">
        <v>247</v>
      </c>
      <c r="R59" s="462"/>
      <c r="S59" s="462"/>
      <c r="T59" s="462"/>
      <c r="U59" s="462"/>
      <c r="V59" s="462"/>
      <c r="W59" s="462"/>
      <c r="X59" s="462"/>
      <c r="Y59" s="463"/>
      <c r="Z59" s="93"/>
    </row>
    <row r="60" spans="1:27" s="132" customFormat="1" ht="6" customHeight="1">
      <c r="A60" s="93"/>
      <c r="B60" s="92"/>
      <c r="C60" s="92"/>
      <c r="D60" s="92"/>
      <c r="E60" s="92"/>
      <c r="F60" s="234"/>
      <c r="G60" s="234"/>
      <c r="H60" s="234"/>
      <c r="I60" s="234"/>
      <c r="J60" s="234"/>
      <c r="K60" s="234"/>
      <c r="L60" s="92"/>
      <c r="M60" s="92"/>
      <c r="N60" s="92"/>
      <c r="O60" s="75"/>
      <c r="P60" s="92"/>
      <c r="Q60" s="92"/>
      <c r="R60" s="92"/>
      <c r="S60" s="92"/>
      <c r="T60" s="92"/>
      <c r="U60" s="92"/>
      <c r="V60" s="92"/>
      <c r="W60" s="92"/>
      <c r="X60" s="92"/>
      <c r="Y60" s="92"/>
      <c r="Z60" s="93"/>
    </row>
    <row r="61" spans="1:27" s="132" customFormat="1" ht="15" customHeight="1">
      <c r="A61" s="93"/>
      <c r="B61" s="92"/>
      <c r="C61" s="92"/>
      <c r="D61" s="92"/>
      <c r="E61" s="92"/>
      <c r="F61" s="234"/>
      <c r="G61" s="234"/>
      <c r="H61" s="92"/>
      <c r="I61" s="455" t="s">
        <v>194</v>
      </c>
      <c r="J61" s="455"/>
      <c r="K61" s="455"/>
      <c r="L61" s="92"/>
      <c r="M61" s="236" t="str">
        <f>IF($I$14="Sovereign Debt","",IF($I$10=" &lt;&lt;&lt; Select Index &gt;&gt;&gt;","",IF(ISERROR(VLOOKUP($I$10&amp;$I$12,'Database - FI'!$B:$DC,96,FALSE))=TRUE,"†",IF(ISBLANK((VLOOKUP($I$10&amp;$I$12,'Database - FI'!$B:$DC,96,FALSE))),"",VLOOKUP($I$10&amp;$I$12,'Database - FI'!$B:$DC,96,FALSE)))))</f>
        <v/>
      </c>
      <c r="N61" s="92"/>
      <c r="O61" s="75"/>
      <c r="P61" s="92"/>
      <c r="Q61" s="92"/>
      <c r="R61" s="92"/>
      <c r="S61" s="92"/>
      <c r="T61" s="92"/>
      <c r="U61" s="92"/>
      <c r="V61" s="92"/>
      <c r="W61" s="92"/>
      <c r="X61" s="92"/>
      <c r="Y61" s="92"/>
      <c r="Z61" s="93"/>
    </row>
    <row r="62" spans="1:27" s="132" customFormat="1" ht="15" customHeight="1">
      <c r="A62" s="93"/>
      <c r="B62" s="92"/>
      <c r="C62" s="92"/>
      <c r="D62" s="92"/>
      <c r="E62" s="92"/>
      <c r="F62" s="234"/>
      <c r="G62" s="234"/>
      <c r="H62" s="92"/>
      <c r="I62" s="455" t="s">
        <v>195</v>
      </c>
      <c r="J62" s="455"/>
      <c r="K62" s="455"/>
      <c r="L62" s="92"/>
      <c r="M62" s="237" t="str">
        <f>IF($I$14="Sovereign Debt","",IF($I$10=" &lt;&lt;&lt; Select Index &gt;&gt;&gt;","",IF(ISERROR(VLOOKUP($I$10&amp;$I$12,'Database - FI'!$B:$DC,95,FALSE))=TRUE,"†",IF(ISBLANK((VLOOKUP($I$10&amp;$I$12,'Database - FI'!$B:$DC,95,FALSE))),"",VLOOKUP($I$10&amp;$I$12,'Database - FI'!$B:$DC,95,FALSE)))))</f>
        <v/>
      </c>
      <c r="N62" s="92"/>
      <c r="O62" s="75"/>
      <c r="P62" s="92"/>
      <c r="Q62" s="92"/>
      <c r="R62" s="92"/>
      <c r="S62" s="92"/>
      <c r="T62" s="92"/>
      <c r="U62" s="92"/>
      <c r="V62" s="92"/>
      <c r="W62" s="92"/>
      <c r="X62" s="92"/>
      <c r="Y62" s="92"/>
      <c r="Z62" s="93"/>
    </row>
    <row r="63" spans="1:27" s="132" customFormat="1" ht="15.75" customHeight="1">
      <c r="A63" s="93"/>
      <c r="B63" s="92"/>
      <c r="C63" s="92"/>
      <c r="D63" s="92"/>
      <c r="E63" s="92"/>
      <c r="F63" s="92"/>
      <c r="G63" s="92"/>
      <c r="H63" s="92"/>
      <c r="I63" s="92"/>
      <c r="J63" s="92"/>
      <c r="K63" s="92"/>
      <c r="L63" s="92"/>
      <c r="M63" s="92"/>
      <c r="N63" s="67"/>
      <c r="O63" s="75"/>
      <c r="P63" s="92"/>
      <c r="Q63" s="92"/>
      <c r="R63" s="92"/>
      <c r="S63" s="92"/>
      <c r="T63" s="92"/>
      <c r="U63" s="92"/>
      <c r="V63" s="92"/>
      <c r="W63" s="92"/>
      <c r="X63" s="92"/>
      <c r="Y63" s="92"/>
      <c r="Z63" s="93"/>
    </row>
    <row r="64" spans="1:27" s="132" customFormat="1" ht="15" customHeight="1">
      <c r="A64" s="93"/>
      <c r="B64" s="92"/>
      <c r="C64" s="92"/>
      <c r="D64" s="92"/>
      <c r="E64" s="92"/>
      <c r="F64" s="92"/>
      <c r="G64" s="92"/>
      <c r="H64" s="92"/>
      <c r="I64" s="92"/>
      <c r="J64" s="92"/>
      <c r="K64" s="92"/>
      <c r="L64" s="92"/>
      <c r="M64" s="92"/>
      <c r="N64" s="67"/>
      <c r="O64" s="75"/>
      <c r="P64" s="92"/>
      <c r="Q64" s="92"/>
      <c r="R64" s="92"/>
      <c r="S64" s="92"/>
      <c r="T64" s="92"/>
      <c r="U64" s="92"/>
      <c r="V64" s="92"/>
      <c r="W64" s="92"/>
      <c r="X64" s="92"/>
      <c r="Y64" s="92"/>
      <c r="Z64" s="93"/>
    </row>
    <row r="65" spans="1:26" s="132" customFormat="1" ht="15" customHeight="1">
      <c r="A65" s="93"/>
      <c r="B65" s="92"/>
      <c r="C65" s="92"/>
      <c r="D65" s="92"/>
      <c r="E65" s="92"/>
      <c r="F65" s="92"/>
      <c r="G65" s="92"/>
      <c r="H65" s="92"/>
      <c r="I65" s="92"/>
      <c r="J65" s="92"/>
      <c r="K65" s="92"/>
      <c r="L65" s="92"/>
      <c r="M65" s="92"/>
      <c r="N65" s="67"/>
      <c r="O65" s="75"/>
      <c r="P65" s="92"/>
      <c r="Q65" s="92"/>
      <c r="R65" s="92"/>
      <c r="S65" s="92"/>
      <c r="T65" s="92"/>
      <c r="U65" s="92"/>
      <c r="V65" s="92"/>
      <c r="W65" s="92"/>
      <c r="X65" s="92"/>
      <c r="Y65" s="92"/>
      <c r="Z65" s="93"/>
    </row>
    <row r="66" spans="1:26" s="132" customFormat="1" ht="15" customHeight="1">
      <c r="A66" s="93"/>
      <c r="B66" s="92"/>
      <c r="C66" s="92"/>
      <c r="D66" s="92"/>
      <c r="E66" s="92"/>
      <c r="F66" s="92"/>
      <c r="G66" s="92"/>
      <c r="H66" s="92"/>
      <c r="I66" s="92"/>
      <c r="J66" s="92"/>
      <c r="K66" s="92"/>
      <c r="L66" s="92"/>
      <c r="M66" s="92"/>
      <c r="N66" s="67"/>
      <c r="O66" s="75"/>
      <c r="P66" s="92"/>
      <c r="Q66" s="92"/>
      <c r="R66" s="92"/>
      <c r="S66" s="92"/>
      <c r="T66" s="92"/>
      <c r="U66" s="92"/>
      <c r="V66" s="92"/>
      <c r="W66" s="92"/>
      <c r="X66" s="92"/>
      <c r="Y66" s="92"/>
      <c r="Z66" s="93"/>
    </row>
    <row r="67" spans="1:26" s="132" customFormat="1" ht="15" customHeight="1">
      <c r="A67" s="93"/>
      <c r="B67" s="92"/>
      <c r="C67" s="92"/>
      <c r="D67" s="92"/>
      <c r="E67" s="92"/>
      <c r="F67" s="92"/>
      <c r="G67" s="92"/>
      <c r="H67" s="92"/>
      <c r="I67" s="92"/>
      <c r="J67" s="92"/>
      <c r="K67" s="92"/>
      <c r="L67" s="92"/>
      <c r="M67" s="92"/>
      <c r="N67" s="67"/>
      <c r="O67" s="75"/>
      <c r="P67" s="92"/>
      <c r="Q67" s="92"/>
      <c r="R67" s="92"/>
      <c r="S67" s="92"/>
      <c r="T67" s="92"/>
      <c r="U67" s="92"/>
      <c r="V67" s="92"/>
      <c r="W67" s="92"/>
      <c r="X67" s="92"/>
      <c r="Y67" s="92"/>
      <c r="Z67" s="93"/>
    </row>
    <row r="68" spans="1:26" s="132" customFormat="1" ht="15" customHeight="1">
      <c r="A68" s="93"/>
      <c r="B68" s="92"/>
      <c r="C68" s="92"/>
      <c r="D68" s="92"/>
      <c r="E68" s="92"/>
      <c r="F68" s="92"/>
      <c r="G68" s="92"/>
      <c r="H68" s="92"/>
      <c r="I68" s="92"/>
      <c r="J68" s="92"/>
      <c r="K68" s="92"/>
      <c r="L68" s="92"/>
      <c r="M68" s="92"/>
      <c r="N68" s="67"/>
      <c r="O68" s="75"/>
      <c r="P68" s="92"/>
      <c r="Q68" s="92"/>
      <c r="R68" s="92"/>
      <c r="S68" s="92"/>
      <c r="T68" s="92"/>
      <c r="U68" s="92"/>
      <c r="V68" s="92"/>
      <c r="W68" s="92"/>
      <c r="X68" s="92"/>
      <c r="Y68" s="92"/>
      <c r="Z68" s="93"/>
    </row>
    <row r="69" spans="1:26" s="132" customFormat="1" ht="15" customHeight="1">
      <c r="A69" s="93"/>
      <c r="B69" s="92"/>
      <c r="C69" s="92"/>
      <c r="D69" s="92"/>
      <c r="E69" s="92"/>
      <c r="F69" s="92"/>
      <c r="G69" s="92"/>
      <c r="H69" s="92"/>
      <c r="I69" s="92"/>
      <c r="J69" s="92"/>
      <c r="K69" s="92"/>
      <c r="L69" s="92"/>
      <c r="M69" s="92"/>
      <c r="N69" s="67"/>
      <c r="O69" s="75"/>
      <c r="P69" s="92"/>
      <c r="Q69" s="92"/>
      <c r="R69" s="92"/>
      <c r="S69" s="92"/>
      <c r="T69" s="92"/>
      <c r="U69" s="92"/>
      <c r="V69" s="92"/>
      <c r="W69" s="92"/>
      <c r="X69" s="92"/>
      <c r="Y69" s="92"/>
      <c r="Z69" s="93"/>
    </row>
    <row r="70" spans="1:26" s="132" customFormat="1" ht="15" customHeight="1">
      <c r="A70" s="93"/>
      <c r="B70" s="92"/>
      <c r="C70" s="92"/>
      <c r="D70" s="92"/>
      <c r="E70" s="92"/>
      <c r="F70" s="92"/>
      <c r="G70" s="92"/>
      <c r="H70" s="92"/>
      <c r="I70" s="92"/>
      <c r="J70" s="92"/>
      <c r="K70" s="92"/>
      <c r="L70" s="92"/>
      <c r="M70" s="92"/>
      <c r="N70" s="67"/>
      <c r="O70" s="75"/>
      <c r="P70" s="92"/>
      <c r="Q70" s="92"/>
      <c r="R70" s="92"/>
      <c r="S70" s="92"/>
      <c r="T70" s="92"/>
      <c r="U70" s="92"/>
      <c r="V70" s="92"/>
      <c r="W70" s="92"/>
      <c r="X70" s="92"/>
      <c r="Y70" s="92"/>
      <c r="Z70" s="93"/>
    </row>
    <row r="71" spans="1:26" s="132" customFormat="1" ht="14.25" customHeight="1">
      <c r="A71" s="93"/>
      <c r="B71" s="92"/>
      <c r="C71" s="92"/>
      <c r="D71" s="92"/>
      <c r="E71" s="92"/>
      <c r="F71" s="92"/>
      <c r="G71" s="92"/>
      <c r="H71" s="92"/>
      <c r="I71" s="92"/>
      <c r="J71" s="92"/>
      <c r="K71" s="92"/>
      <c r="L71" s="92"/>
      <c r="M71" s="92"/>
      <c r="N71" s="67"/>
      <c r="O71" s="75"/>
      <c r="P71" s="92"/>
      <c r="Q71" s="92"/>
      <c r="R71" s="92"/>
      <c r="S71" s="92"/>
      <c r="T71" s="92"/>
      <c r="U71" s="92"/>
      <c r="V71" s="92"/>
      <c r="W71" s="92"/>
      <c r="X71" s="92"/>
      <c r="Y71" s="92"/>
      <c r="Z71" s="93"/>
    </row>
    <row r="72" spans="1:26" s="132" customFormat="1" ht="15" customHeight="1">
      <c r="A72" s="93"/>
      <c r="B72" s="92"/>
      <c r="C72" s="92"/>
      <c r="D72" s="92"/>
      <c r="E72" s="92"/>
      <c r="F72" s="92"/>
      <c r="G72" s="92"/>
      <c r="H72" s="92"/>
      <c r="I72" s="92"/>
      <c r="J72" s="92"/>
      <c r="K72" s="92"/>
      <c r="L72" s="92"/>
      <c r="M72" s="92"/>
      <c r="N72" s="67"/>
      <c r="O72" s="75"/>
      <c r="P72" s="92"/>
      <c r="Q72" s="92"/>
      <c r="R72" s="92"/>
      <c r="S72" s="92"/>
      <c r="T72" s="92"/>
      <c r="U72" s="92"/>
      <c r="V72" s="92"/>
      <c r="W72" s="92"/>
      <c r="X72" s="92"/>
      <c r="Y72" s="92"/>
      <c r="Z72" s="93"/>
    </row>
    <row r="73" spans="1:26" s="132" customFormat="1" ht="15" customHeight="1">
      <c r="A73" s="93"/>
      <c r="B73" s="92"/>
      <c r="C73" s="92"/>
      <c r="D73" s="92"/>
      <c r="E73" s="92"/>
      <c r="F73" s="92"/>
      <c r="G73" s="92"/>
      <c r="H73" s="92"/>
      <c r="I73" s="92"/>
      <c r="J73" s="92"/>
      <c r="K73" s="92"/>
      <c r="L73" s="92"/>
      <c r="M73" s="92"/>
      <c r="N73" s="67"/>
      <c r="O73" s="75"/>
      <c r="P73" s="92"/>
      <c r="Q73" s="92"/>
      <c r="R73" s="92"/>
      <c r="S73" s="92"/>
      <c r="T73" s="92"/>
      <c r="U73" s="92"/>
      <c r="V73" s="92"/>
      <c r="W73" s="92"/>
      <c r="X73" s="92"/>
      <c r="Y73" s="92"/>
      <c r="Z73" s="93"/>
    </row>
    <row r="74" spans="1:26" ht="14.25" customHeight="1">
      <c r="A74" s="92"/>
      <c r="B74" s="456" t="s">
        <v>248</v>
      </c>
      <c r="C74" s="456"/>
      <c r="D74" s="456"/>
      <c r="E74" s="456"/>
      <c r="F74" s="456"/>
      <c r="G74" s="456"/>
      <c r="H74" s="456"/>
      <c r="I74" s="456"/>
      <c r="J74" s="456"/>
      <c r="K74" s="456"/>
      <c r="L74" s="456"/>
      <c r="M74" s="456"/>
      <c r="N74" s="456"/>
      <c r="O74" s="456"/>
      <c r="P74" s="456"/>
      <c r="Q74" s="456"/>
      <c r="R74" s="456"/>
      <c r="S74" s="456"/>
      <c r="T74" s="456"/>
      <c r="U74" s="456"/>
      <c r="V74" s="456"/>
      <c r="W74" s="456"/>
      <c r="X74" s="456"/>
      <c r="Y74" s="456"/>
      <c r="Z74" s="75"/>
    </row>
    <row r="75" spans="1:26" ht="14.25" customHeight="1">
      <c r="A75" s="92"/>
      <c r="B75" s="33" t="s">
        <v>249</v>
      </c>
      <c r="C75" s="1"/>
      <c r="D75" s="1"/>
      <c r="E75" s="1"/>
      <c r="F75" s="1"/>
      <c r="G75" s="1"/>
      <c r="H75" s="1"/>
      <c r="I75" s="1"/>
      <c r="J75" s="1"/>
      <c r="K75" s="1"/>
      <c r="L75" s="1"/>
      <c r="M75" s="1"/>
      <c r="N75" s="1"/>
      <c r="O75" s="1"/>
      <c r="P75" s="1"/>
      <c r="Q75" s="1"/>
      <c r="R75" s="1"/>
      <c r="S75" s="1"/>
      <c r="T75" s="1"/>
      <c r="U75" s="1"/>
      <c r="V75" s="1"/>
      <c r="W75" s="1"/>
      <c r="X75" s="1"/>
      <c r="Y75" s="1"/>
      <c r="Z75" s="75"/>
    </row>
    <row r="76" spans="1:26" ht="14.25" customHeight="1">
      <c r="A76" s="92"/>
      <c r="B76" s="33"/>
      <c r="C76" s="1"/>
      <c r="D76" s="1"/>
      <c r="E76" s="1"/>
      <c r="F76" s="1"/>
      <c r="G76" s="1"/>
      <c r="H76" s="1"/>
      <c r="I76" s="1"/>
      <c r="J76" s="1"/>
      <c r="K76" s="1"/>
      <c r="L76" s="1"/>
      <c r="M76" s="1"/>
      <c r="N76" s="1"/>
      <c r="O76" s="1"/>
      <c r="P76" s="1"/>
      <c r="Q76" s="1"/>
      <c r="R76" s="1"/>
      <c r="S76" s="1"/>
      <c r="T76" s="1"/>
      <c r="U76" s="1"/>
      <c r="V76" s="1"/>
      <c r="W76" s="1"/>
      <c r="X76" s="1"/>
      <c r="Y76" s="1"/>
      <c r="Z76" s="75"/>
    </row>
    <row r="77" spans="1:26" ht="14.25" customHeight="1">
      <c r="A77" s="92"/>
      <c r="B77" s="33"/>
      <c r="C77" s="1"/>
      <c r="D77" s="1"/>
      <c r="E77" s="1"/>
      <c r="F77" s="1"/>
      <c r="G77" s="1"/>
      <c r="H77" s="1"/>
      <c r="I77" s="1"/>
      <c r="J77" s="1"/>
      <c r="K77" s="1"/>
      <c r="L77" s="1"/>
      <c r="M77" s="1"/>
      <c r="N77" s="1"/>
      <c r="O77" s="1"/>
      <c r="P77" s="1"/>
      <c r="Q77" s="1"/>
      <c r="R77" s="1"/>
      <c r="S77" s="1"/>
      <c r="T77" s="1"/>
      <c r="U77" s="1"/>
      <c r="V77" s="1"/>
      <c r="W77" s="1"/>
      <c r="X77" s="1"/>
      <c r="Y77" s="1"/>
      <c r="Z77" s="75"/>
    </row>
  </sheetData>
  <sheetProtection algorithmName="SHA-512" hashValue="q7dOgl1NrE1ecz5mQKrKXmDeuXmWXIlE1HJjCYUb5E8sxTWoIkDvTWkOr86BL7NNAZPJVjl2Drs+VW9aTn8xJw==" saltValue="+rys/stlZKlDJhRA00DjeQ==" spinCount="100000" sheet="1" objects="1" scenarios="1"/>
  <mergeCells count="57">
    <mergeCell ref="F12:G12"/>
    <mergeCell ref="B7:Y7"/>
    <mergeCell ref="B8:G8"/>
    <mergeCell ref="I8:O8"/>
    <mergeCell ref="B10:G10"/>
    <mergeCell ref="I10:O10"/>
    <mergeCell ref="F14:G14"/>
    <mergeCell ref="I14:K14"/>
    <mergeCell ref="F16:G16"/>
    <mergeCell ref="C18:G18"/>
    <mergeCell ref="C19:G19"/>
    <mergeCell ref="W19:Y19"/>
    <mergeCell ref="B23:D23"/>
    <mergeCell ref="F23:K23"/>
    <mergeCell ref="Q23:Y23"/>
    <mergeCell ref="B25:D25"/>
    <mergeCell ref="F25:K25"/>
    <mergeCell ref="Q25:Y25"/>
    <mergeCell ref="S19:U19"/>
    <mergeCell ref="I40:K40"/>
    <mergeCell ref="B27:D27"/>
    <mergeCell ref="F27:K27"/>
    <mergeCell ref="Q27:Y27"/>
    <mergeCell ref="I29:K29"/>
    <mergeCell ref="I30:K30"/>
    <mergeCell ref="B32:D33"/>
    <mergeCell ref="F32:K33"/>
    <mergeCell ref="Q32:Y32"/>
    <mergeCell ref="Q33:Y33"/>
    <mergeCell ref="I35:K35"/>
    <mergeCell ref="I36:K36"/>
    <mergeCell ref="B38:D38"/>
    <mergeCell ref="F38:K38"/>
    <mergeCell ref="Q38:Y38"/>
    <mergeCell ref="B53:D53"/>
    <mergeCell ref="F53:K53"/>
    <mergeCell ref="Q53:Y53"/>
    <mergeCell ref="I41:K41"/>
    <mergeCell ref="B43:D43"/>
    <mergeCell ref="F43:K43"/>
    <mergeCell ref="Q43:Y43"/>
    <mergeCell ref="I45:K45"/>
    <mergeCell ref="I46:K46"/>
    <mergeCell ref="B48:D48"/>
    <mergeCell ref="F48:K48"/>
    <mergeCell ref="Q48:Y48"/>
    <mergeCell ref="I50:K50"/>
    <mergeCell ref="I51:K51"/>
    <mergeCell ref="I61:K61"/>
    <mergeCell ref="I62:K62"/>
    <mergeCell ref="B74:Y74"/>
    <mergeCell ref="I55:K55"/>
    <mergeCell ref="I56:K56"/>
    <mergeCell ref="B58:D58"/>
    <mergeCell ref="F58:K59"/>
    <mergeCell ref="Q58:Y58"/>
    <mergeCell ref="Q59:Y59"/>
  </mergeCells>
  <conditionalFormatting sqref="B25">
    <cfRule type="cellIs" dxfId="42" priority="22" operator="equal">
      <formula>"***"</formula>
    </cfRule>
  </conditionalFormatting>
  <conditionalFormatting sqref="B27">
    <cfRule type="cellIs" dxfId="41" priority="7" operator="equal">
      <formula>"***"</formula>
    </cfRule>
  </conditionalFormatting>
  <conditionalFormatting sqref="B32">
    <cfRule type="cellIs" dxfId="40" priority="6" operator="equal">
      <formula>"***"</formula>
    </cfRule>
  </conditionalFormatting>
  <conditionalFormatting sqref="B38">
    <cfRule type="cellIs" dxfId="39" priority="5" operator="equal">
      <formula>"***"</formula>
    </cfRule>
  </conditionalFormatting>
  <conditionalFormatting sqref="B43">
    <cfRule type="cellIs" dxfId="38" priority="4" operator="equal">
      <formula>"***"</formula>
    </cfRule>
  </conditionalFormatting>
  <conditionalFormatting sqref="B48">
    <cfRule type="cellIs" dxfId="37" priority="3" operator="equal">
      <formula>"***"</formula>
    </cfRule>
  </conditionalFormatting>
  <conditionalFormatting sqref="B53">
    <cfRule type="cellIs" dxfId="36" priority="2" operator="equal">
      <formula>"***"</formula>
    </cfRule>
  </conditionalFormatting>
  <conditionalFormatting sqref="B58:B59">
    <cfRule type="cellIs" dxfId="35" priority="1" operator="equal">
      <formula>"***"</formula>
    </cfRule>
  </conditionalFormatting>
  <conditionalFormatting sqref="M25">
    <cfRule type="cellIs" dxfId="34" priority="23" operator="equal">
      <formula>"***"</formula>
    </cfRule>
  </conditionalFormatting>
  <conditionalFormatting sqref="M27">
    <cfRule type="cellIs" dxfId="33" priority="19" operator="equal">
      <formula>"***"</formula>
    </cfRule>
  </conditionalFormatting>
  <conditionalFormatting sqref="M29:M30">
    <cfRule type="cellIs" dxfId="32" priority="21" operator="equal">
      <formula>"***"</formula>
    </cfRule>
  </conditionalFormatting>
  <conditionalFormatting sqref="M32:M33">
    <cfRule type="cellIs" dxfId="31" priority="18" operator="equal">
      <formula>"***"</formula>
    </cfRule>
  </conditionalFormatting>
  <conditionalFormatting sqref="M35:M36">
    <cfRule type="cellIs" dxfId="30" priority="13" operator="equal">
      <formula>"***"</formula>
    </cfRule>
  </conditionalFormatting>
  <conditionalFormatting sqref="M38">
    <cfRule type="cellIs" dxfId="29" priority="17" operator="equal">
      <formula>"***"</formula>
    </cfRule>
  </conditionalFormatting>
  <conditionalFormatting sqref="M40:M41">
    <cfRule type="cellIs" dxfId="28" priority="12" operator="equal">
      <formula>"***"</formula>
    </cfRule>
  </conditionalFormatting>
  <conditionalFormatting sqref="M43">
    <cfRule type="cellIs" dxfId="27" priority="16" operator="equal">
      <formula>"***"</formula>
    </cfRule>
  </conditionalFormatting>
  <conditionalFormatting sqref="M45:M46">
    <cfRule type="cellIs" dxfId="26" priority="20" operator="equal">
      <formula>"***"</formula>
    </cfRule>
  </conditionalFormatting>
  <conditionalFormatting sqref="M48">
    <cfRule type="cellIs" dxfId="25" priority="14" operator="equal">
      <formula>"***"</formula>
    </cfRule>
  </conditionalFormatting>
  <conditionalFormatting sqref="M50:M51">
    <cfRule type="cellIs" dxfId="24" priority="15" operator="equal">
      <formula>"***"</formula>
    </cfRule>
  </conditionalFormatting>
  <conditionalFormatting sqref="M53">
    <cfRule type="cellIs" dxfId="23" priority="10" operator="equal">
      <formula>"***"</formula>
    </cfRule>
  </conditionalFormatting>
  <conditionalFormatting sqref="M55:M56">
    <cfRule type="cellIs" dxfId="22" priority="11" operator="equal">
      <formula>"***"</formula>
    </cfRule>
  </conditionalFormatting>
  <conditionalFormatting sqref="M58:M59">
    <cfRule type="cellIs" dxfId="21" priority="8" operator="equal">
      <formula>"***"</formula>
    </cfRule>
  </conditionalFormatting>
  <conditionalFormatting sqref="M61:M62">
    <cfRule type="cellIs" dxfId="20" priority="9" operator="equal">
      <formula>"***"</formula>
    </cfRule>
  </conditionalFormatting>
  <printOptions gridLines="1"/>
  <pageMargins left="0" right="0" top="0" bottom="0" header="0.3" footer="0.3"/>
  <pageSetup scale="42" fitToHeight="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2CCB86-F19A-420A-849D-11870249E087}">
  <sheetPr>
    <tabColor theme="1"/>
    <pageSetUpPr fitToPage="1"/>
  </sheetPr>
  <dimension ref="A1:AF84"/>
  <sheetViews>
    <sheetView showGridLines="0" topLeftCell="A2" zoomScale="80" zoomScaleNormal="80" workbookViewId="0">
      <selection activeCell="AF23" sqref="AF23"/>
    </sheetView>
  </sheetViews>
  <sheetFormatPr defaultColWidth="9.28515625" defaultRowHeight="14.25"/>
  <cols>
    <col min="1" max="1" width="5.7109375" style="116" customWidth="1"/>
    <col min="2" max="4" width="5.42578125" style="116" customWidth="1"/>
    <col min="5" max="5" width="8.5703125" style="116" customWidth="1"/>
    <col min="6" max="6" width="15.7109375" style="116" customWidth="1"/>
    <col min="7" max="7" width="13.28515625" style="116" customWidth="1"/>
    <col min="8" max="8" width="1.5703125" style="116" customWidth="1"/>
    <col min="9" max="9" width="22.7109375" style="116" customWidth="1"/>
    <col min="10" max="10" width="2.28515625" style="116" customWidth="1"/>
    <col min="11" max="11" width="22.7109375" style="116" customWidth="1"/>
    <col min="12" max="12" width="1.42578125" style="116" customWidth="1"/>
    <col min="13" max="13" width="23.5703125" style="116" customWidth="1"/>
    <col min="14" max="14" width="5.7109375" style="116" customWidth="1"/>
    <col min="15" max="15" width="40.7109375" style="116" customWidth="1"/>
    <col min="16" max="16" width="2.7109375" style="116" customWidth="1"/>
    <col min="17" max="17" width="35.5703125" style="116" customWidth="1"/>
    <col min="18" max="18" width="2.7109375" style="116" customWidth="1"/>
    <col min="19" max="19" width="14.28515625" style="116" customWidth="1"/>
    <col min="20" max="20" width="2.7109375" style="116" customWidth="1"/>
    <col min="21" max="21" width="11.42578125" style="116" customWidth="1"/>
    <col min="22" max="22" width="2.7109375" style="116" customWidth="1"/>
    <col min="23" max="24" width="16.28515625" style="116" customWidth="1"/>
    <col min="25" max="25" width="27.5703125" style="116" customWidth="1"/>
    <col min="26" max="26" width="5.7109375" style="116" customWidth="1"/>
    <col min="27" max="27" width="9.28515625" style="116"/>
    <col min="28" max="28" width="14" style="116" customWidth="1"/>
    <col min="29" max="29" width="22.7109375" style="116" customWidth="1"/>
    <col min="30" max="30" width="16.42578125" style="116" customWidth="1"/>
    <col min="31" max="31" width="9.28515625" style="116"/>
    <col min="32" max="32" width="13" style="116" customWidth="1"/>
    <col min="33" max="33" width="9.28515625" style="116"/>
    <col min="34" max="34" width="11" style="116" customWidth="1"/>
    <col min="35" max="16384" width="9.28515625" style="116"/>
  </cols>
  <sheetData>
    <row r="1" spans="1:32" ht="75" customHeight="1">
      <c r="A1" s="50"/>
      <c r="B1" s="50"/>
      <c r="C1" s="50"/>
      <c r="D1" s="50"/>
      <c r="E1" s="50"/>
      <c r="F1" s="50"/>
      <c r="G1" s="50"/>
      <c r="H1" s="50"/>
      <c r="I1" s="50"/>
      <c r="J1" s="50"/>
      <c r="K1" s="50"/>
      <c r="L1" s="50"/>
      <c r="M1" s="50"/>
      <c r="N1" s="50"/>
      <c r="O1" s="50"/>
      <c r="P1" s="50"/>
      <c r="Q1" s="50"/>
      <c r="R1" s="50"/>
      <c r="S1" s="50"/>
      <c r="T1" s="50"/>
      <c r="U1" s="50"/>
      <c r="V1" s="50"/>
      <c r="W1" s="50"/>
      <c r="X1" s="50"/>
      <c r="Y1" s="50"/>
      <c r="Z1" s="50"/>
    </row>
    <row r="2" spans="1:32" ht="15" customHeight="1">
      <c r="A2" s="92"/>
      <c r="B2" s="92"/>
      <c r="C2" s="92"/>
      <c r="D2" s="92"/>
      <c r="E2" s="92"/>
      <c r="F2" s="92"/>
      <c r="G2" s="92"/>
      <c r="H2" s="92"/>
      <c r="I2" s="92"/>
      <c r="J2" s="92"/>
      <c r="K2" s="92"/>
      <c r="L2" s="92"/>
      <c r="M2" s="92"/>
      <c r="N2" s="92"/>
      <c r="O2" s="92"/>
      <c r="P2" s="92"/>
      <c r="Q2" s="92"/>
      <c r="R2" s="92"/>
      <c r="S2" s="92"/>
      <c r="T2" s="92"/>
      <c r="U2" s="92"/>
      <c r="V2" s="92"/>
      <c r="W2" s="92"/>
      <c r="X2" s="92"/>
      <c r="Y2" s="92"/>
      <c r="Z2" s="92"/>
    </row>
    <row r="3" spans="1:32" ht="30.75" customHeight="1">
      <c r="A3" s="92"/>
      <c r="B3" s="76" t="s">
        <v>91</v>
      </c>
      <c r="C3" s="16"/>
      <c r="D3" s="16"/>
      <c r="E3" s="92"/>
      <c r="F3" s="92"/>
      <c r="G3" s="92"/>
      <c r="H3" s="92"/>
      <c r="I3" s="92"/>
      <c r="J3" s="92"/>
      <c r="K3" s="92"/>
      <c r="L3" s="92"/>
      <c r="M3" s="92"/>
      <c r="N3" s="92"/>
      <c r="O3" s="92"/>
      <c r="P3" s="92"/>
      <c r="Q3" s="92"/>
      <c r="R3" s="92"/>
      <c r="S3" s="92"/>
      <c r="T3" s="92"/>
      <c r="U3" s="92"/>
      <c r="V3" s="92"/>
      <c r="W3" s="92"/>
      <c r="X3" s="92"/>
      <c r="Y3" s="197">
        <v>45947</v>
      </c>
      <c r="Z3" s="92"/>
    </row>
    <row r="4" spans="1:32" ht="15" customHeight="1">
      <c r="A4" s="92"/>
      <c r="B4" s="16"/>
      <c r="C4" s="16"/>
      <c r="D4" s="16"/>
      <c r="E4" s="92"/>
      <c r="F4" s="92"/>
      <c r="G4" s="92"/>
      <c r="H4" s="92"/>
      <c r="I4" s="92"/>
      <c r="J4" s="92"/>
      <c r="K4" s="92"/>
      <c r="L4" s="92"/>
      <c r="M4" s="92"/>
      <c r="N4" s="92"/>
      <c r="O4" s="92"/>
      <c r="P4" s="92"/>
      <c r="Q4" s="92"/>
      <c r="R4" s="92"/>
      <c r="S4" s="92"/>
      <c r="T4" s="92"/>
      <c r="U4" s="92"/>
      <c r="V4" s="92"/>
      <c r="W4" s="92"/>
      <c r="X4" s="92"/>
      <c r="Y4" s="92"/>
      <c r="Z4" s="92"/>
    </row>
    <row r="5" spans="1:32" ht="21" customHeight="1">
      <c r="A5" s="92"/>
      <c r="B5" s="8" t="s">
        <v>39</v>
      </c>
      <c r="C5" s="8"/>
      <c r="D5" s="8"/>
      <c r="E5" s="92"/>
      <c r="F5" s="92"/>
      <c r="G5" s="92"/>
      <c r="H5" s="92"/>
      <c r="I5" s="92"/>
      <c r="J5" s="92"/>
      <c r="K5" s="92"/>
      <c r="L5" s="92"/>
      <c r="M5" s="92"/>
      <c r="N5" s="92"/>
      <c r="O5" s="92"/>
      <c r="P5" s="92"/>
      <c r="Q5" s="92"/>
      <c r="R5" s="92"/>
      <c r="S5" s="92"/>
      <c r="T5" s="92"/>
      <c r="U5" s="92"/>
      <c r="V5" s="92"/>
      <c r="W5" s="92"/>
      <c r="X5" s="92"/>
      <c r="Y5" s="92"/>
      <c r="Z5" s="92"/>
    </row>
    <row r="6" spans="1:32" ht="15" customHeight="1">
      <c r="A6" s="92"/>
      <c r="B6" s="8"/>
      <c r="C6" s="8"/>
      <c r="D6" s="8"/>
      <c r="E6" s="92"/>
      <c r="F6" s="92"/>
      <c r="G6" s="92"/>
      <c r="H6" s="92"/>
      <c r="I6" s="92"/>
      <c r="J6" s="92"/>
      <c r="K6" s="92"/>
      <c r="L6" s="92"/>
      <c r="M6" s="92"/>
      <c r="N6" s="92"/>
      <c r="O6" s="92"/>
      <c r="P6" s="92"/>
      <c r="Q6" s="92"/>
      <c r="R6" s="92"/>
      <c r="S6" s="92"/>
      <c r="T6" s="92"/>
      <c r="U6" s="92"/>
      <c r="V6" s="92"/>
      <c r="W6" s="92"/>
      <c r="X6" s="92"/>
      <c r="Y6" s="92"/>
      <c r="Z6" s="92"/>
    </row>
    <row r="7" spans="1:32" ht="48.75" customHeight="1">
      <c r="A7" s="92"/>
      <c r="B7" s="354" t="s">
        <v>223</v>
      </c>
      <c r="C7" s="354"/>
      <c r="D7" s="354"/>
      <c r="E7" s="354"/>
      <c r="F7" s="354"/>
      <c r="G7" s="354"/>
      <c r="H7" s="354"/>
      <c r="I7" s="354"/>
      <c r="J7" s="354"/>
      <c r="K7" s="354"/>
      <c r="L7" s="354"/>
      <c r="M7" s="354"/>
      <c r="N7" s="354"/>
      <c r="O7" s="354"/>
      <c r="P7" s="354"/>
      <c r="Q7" s="354"/>
      <c r="R7" s="354"/>
      <c r="S7" s="354"/>
      <c r="T7" s="354"/>
      <c r="U7" s="354"/>
      <c r="V7" s="354"/>
      <c r="W7" s="354"/>
      <c r="X7" s="354"/>
      <c r="Y7" s="354"/>
      <c r="Z7" s="92"/>
    </row>
    <row r="8" spans="1:32" ht="15" customHeight="1">
      <c r="A8" s="92"/>
      <c r="B8" s="352" t="s">
        <v>33</v>
      </c>
      <c r="C8" s="377"/>
      <c r="D8" s="377"/>
      <c r="E8" s="377"/>
      <c r="F8" s="377"/>
      <c r="G8" s="353"/>
      <c r="H8" s="57"/>
      <c r="I8" s="509" t="str">
        <f>'I. ESG Factors Report - FI (1)'!I8</f>
        <v xml:space="preserve">Multi-Asset Allocation Indices Methodology </v>
      </c>
      <c r="J8" s="510"/>
      <c r="K8" s="510"/>
      <c r="L8" s="510"/>
      <c r="M8" s="510"/>
      <c r="N8" s="510"/>
      <c r="O8" s="511"/>
      <c r="P8" s="92"/>
      <c r="Q8" s="21"/>
      <c r="R8" s="37"/>
      <c r="S8" s="92"/>
      <c r="T8" s="92"/>
      <c r="U8" s="92"/>
      <c r="V8" s="92"/>
      <c r="W8" s="92"/>
      <c r="X8" s="92"/>
      <c r="Y8" s="92"/>
      <c r="Z8" s="92"/>
    </row>
    <row r="9" spans="1:32" ht="4.5" customHeight="1">
      <c r="A9" s="92"/>
      <c r="B9" s="11"/>
      <c r="C9" s="11"/>
      <c r="D9" s="11"/>
      <c r="E9" s="12"/>
      <c r="F9" s="11"/>
      <c r="G9" s="11"/>
      <c r="H9" s="59"/>
      <c r="I9" s="59"/>
      <c r="J9" s="59"/>
      <c r="K9" s="59"/>
      <c r="L9" s="59"/>
      <c r="M9" s="59"/>
      <c r="N9" s="59"/>
      <c r="O9" s="59"/>
      <c r="P9" s="92"/>
      <c r="Q9" s="60"/>
      <c r="R9" s="92"/>
      <c r="S9" s="92"/>
      <c r="T9" s="92"/>
      <c r="U9" s="92"/>
      <c r="V9" s="92"/>
      <c r="W9" s="92"/>
      <c r="X9" s="92"/>
      <c r="Y9" s="92"/>
      <c r="Z9" s="92"/>
    </row>
    <row r="10" spans="1:32" ht="15" customHeight="1">
      <c r="A10" s="92"/>
      <c r="B10" s="395" t="s">
        <v>92</v>
      </c>
      <c r="C10" s="396"/>
      <c r="D10" s="396"/>
      <c r="E10" s="396"/>
      <c r="F10" s="396"/>
      <c r="G10" s="397"/>
      <c r="H10" s="61"/>
      <c r="I10" s="509" t="str">
        <f>'I. ESG Factors Report - FI (1)'!I10</f>
        <v>iBoxx EUR Liquid Sovereign Diversified 1-10</v>
      </c>
      <c r="J10" s="510"/>
      <c r="K10" s="510"/>
      <c r="L10" s="510"/>
      <c r="M10" s="510"/>
      <c r="N10" s="510"/>
      <c r="O10" s="511"/>
      <c r="P10" s="92"/>
      <c r="Q10" s="22"/>
      <c r="R10" s="92"/>
      <c r="S10" s="199"/>
      <c r="T10" s="200"/>
      <c r="U10" s="200"/>
      <c r="V10" s="200"/>
      <c r="W10" s="200"/>
      <c r="X10" s="200"/>
      <c r="Y10" s="200"/>
      <c r="Z10" s="92"/>
    </row>
    <row r="11" spans="1:32" ht="7.5" customHeight="1">
      <c r="A11" s="92"/>
      <c r="B11" s="5"/>
      <c r="C11" s="5"/>
      <c r="D11" s="5"/>
      <c r="E11" s="6"/>
      <c r="F11" s="7"/>
      <c r="G11" s="5"/>
      <c r="H11" s="62"/>
      <c r="I11" s="60"/>
      <c r="J11" s="60"/>
      <c r="K11" s="60"/>
      <c r="L11" s="60"/>
      <c r="M11" s="62"/>
      <c r="N11" s="60"/>
      <c r="O11" s="62"/>
      <c r="P11" s="60"/>
      <c r="Q11" s="60"/>
      <c r="R11" s="123"/>
      <c r="S11" s="201"/>
      <c r="T11" s="202"/>
      <c r="U11" s="202"/>
      <c r="V11" s="202"/>
      <c r="W11" s="202"/>
      <c r="X11" s="202"/>
      <c r="Y11" s="202"/>
      <c r="Z11" s="92"/>
    </row>
    <row r="12" spans="1:32" ht="15" customHeight="1">
      <c r="A12" s="92"/>
      <c r="B12" s="5"/>
      <c r="C12" s="5"/>
      <c r="D12" s="5"/>
      <c r="E12" s="6"/>
      <c r="F12" s="395" t="s">
        <v>93</v>
      </c>
      <c r="G12" s="397"/>
      <c r="H12" s="61"/>
      <c r="I12" s="264">
        <f>'I. ESG Factors Report - FI (1)'!I12</f>
        <v>45922</v>
      </c>
      <c r="J12" s="204"/>
      <c r="K12" s="204"/>
      <c r="L12" s="75"/>
      <c r="N12" s="60"/>
      <c r="O12" s="62"/>
      <c r="P12" s="60"/>
      <c r="Q12" s="60"/>
      <c r="R12" s="39"/>
      <c r="S12" s="205" t="s">
        <v>179</v>
      </c>
      <c r="T12" s="206"/>
      <c r="U12" s="207" t="s">
        <v>180</v>
      </c>
      <c r="V12" s="208"/>
      <c r="W12" s="208"/>
      <c r="X12" s="208"/>
      <c r="Y12" s="209" t="s">
        <v>181</v>
      </c>
      <c r="Z12" s="92"/>
    </row>
    <row r="13" spans="1:32" ht="8.25" customHeight="1">
      <c r="A13" s="92"/>
      <c r="B13" s="5"/>
      <c r="C13" s="5"/>
      <c r="D13" s="5"/>
      <c r="E13" s="6"/>
      <c r="F13" s="7"/>
      <c r="G13" s="5"/>
      <c r="H13" s="62"/>
      <c r="I13" s="60"/>
      <c r="J13" s="60"/>
      <c r="K13" s="60"/>
      <c r="L13" s="60"/>
      <c r="M13" s="62"/>
      <c r="N13" s="60"/>
      <c r="O13" s="62"/>
      <c r="P13" s="60"/>
      <c r="Q13" s="60"/>
      <c r="R13" s="60"/>
      <c r="S13" s="210"/>
      <c r="T13" s="211"/>
      <c r="U13" s="202"/>
      <c r="V13" s="208"/>
      <c r="W13" s="208"/>
      <c r="X13" s="208"/>
      <c r="Y13" s="212"/>
      <c r="Z13" s="39"/>
      <c r="AA13" s="39"/>
      <c r="AB13" s="39"/>
      <c r="AC13" s="39"/>
      <c r="AD13" s="39"/>
      <c r="AE13" s="39"/>
      <c r="AF13" s="39"/>
    </row>
    <row r="14" spans="1:32" ht="15" customHeight="1">
      <c r="A14" s="92"/>
      <c r="B14" s="5"/>
      <c r="C14" s="5"/>
      <c r="D14" s="5"/>
      <c r="E14" s="213"/>
      <c r="F14" s="502" t="s">
        <v>182</v>
      </c>
      <c r="G14" s="503"/>
      <c r="H14" s="214"/>
      <c r="I14" s="504" t="str">
        <f>'I. ESG Factors Report - FI (1)'!I14</f>
        <v>Sovereign Debt</v>
      </c>
      <c r="J14" s="505"/>
      <c r="K14" s="506"/>
      <c r="L14" s="62"/>
      <c r="M14" s="62"/>
      <c r="N14" s="62"/>
      <c r="O14" s="62"/>
      <c r="P14" s="60"/>
      <c r="Q14" s="60"/>
      <c r="R14" s="215"/>
      <c r="S14" s="210"/>
      <c r="T14" s="206"/>
      <c r="U14" s="207" t="s">
        <v>183</v>
      </c>
      <c r="V14" s="208"/>
      <c r="W14" s="208"/>
      <c r="X14" s="208"/>
      <c r="Y14" s="216" t="s">
        <v>184</v>
      </c>
      <c r="Z14" s="39"/>
      <c r="AA14" s="39"/>
      <c r="AB14" s="39"/>
      <c r="AC14" s="39"/>
      <c r="AD14" s="39"/>
      <c r="AE14" s="39"/>
      <c r="AF14" s="39"/>
    </row>
    <row r="15" spans="1:32" ht="15" customHeight="1">
      <c r="A15" s="92"/>
      <c r="B15" s="5"/>
      <c r="C15" s="5"/>
      <c r="D15" s="5"/>
      <c r="E15" s="6"/>
      <c r="F15" s="7"/>
      <c r="G15" s="5"/>
      <c r="H15" s="62"/>
      <c r="I15" s="60"/>
      <c r="J15" s="60"/>
      <c r="K15" s="60"/>
      <c r="L15" s="62"/>
      <c r="M15" s="62"/>
      <c r="N15" s="62"/>
      <c r="O15" s="62"/>
      <c r="P15" s="60"/>
      <c r="Q15" s="60"/>
      <c r="R15" s="36"/>
      <c r="S15" s="217"/>
      <c r="T15" s="218"/>
      <c r="U15" s="218"/>
      <c r="V15" s="218"/>
      <c r="W15" s="218"/>
      <c r="X15" s="218"/>
      <c r="Y15" s="218"/>
      <c r="Z15" s="39"/>
      <c r="AA15" s="39"/>
      <c r="AB15" s="39"/>
      <c r="AC15" s="39"/>
      <c r="AD15" s="39"/>
      <c r="AE15" s="39"/>
      <c r="AF15" s="39"/>
    </row>
    <row r="16" spans="1:32" ht="15">
      <c r="A16" s="92"/>
      <c r="B16" s="5"/>
      <c r="C16" s="5"/>
      <c r="D16" s="5"/>
      <c r="E16" s="6"/>
      <c r="F16" s="395" t="s">
        <v>185</v>
      </c>
      <c r="G16" s="397"/>
      <c r="H16" s="62"/>
      <c r="I16" s="219">
        <f>'I. ESG Factors Report - FI (1)'!I16</f>
        <v>25</v>
      </c>
      <c r="J16" s="60"/>
      <c r="K16" s="220" t="s">
        <v>186</v>
      </c>
      <c r="L16" s="62"/>
      <c r="M16" s="62"/>
      <c r="N16" s="60"/>
      <c r="O16" s="62"/>
      <c r="P16" s="60"/>
      <c r="Q16" s="60"/>
      <c r="R16" s="36"/>
      <c r="S16" s="123"/>
      <c r="T16" s="39"/>
      <c r="U16" s="39"/>
      <c r="V16" s="39"/>
      <c r="W16" s="39"/>
      <c r="X16" s="39"/>
      <c r="Y16" s="221"/>
      <c r="Z16" s="39"/>
      <c r="AA16" s="39"/>
      <c r="AB16" s="39"/>
      <c r="AC16" s="39"/>
      <c r="AD16" s="39"/>
      <c r="AE16" s="39"/>
      <c r="AF16" s="39"/>
    </row>
    <row r="17" spans="1:32" ht="8.25" customHeight="1">
      <c r="A17" s="92"/>
      <c r="B17" s="75"/>
      <c r="C17" s="5"/>
      <c r="D17" s="5"/>
      <c r="E17" s="6"/>
      <c r="F17" s="60"/>
      <c r="G17" s="60"/>
      <c r="H17" s="62"/>
      <c r="I17" s="60"/>
      <c r="J17" s="60"/>
      <c r="K17" s="60"/>
      <c r="L17" s="60"/>
      <c r="M17" s="62"/>
      <c r="N17" s="60"/>
      <c r="O17" s="62"/>
      <c r="P17" s="60"/>
      <c r="Q17" s="60"/>
      <c r="R17" s="36"/>
      <c r="S17" s="92"/>
      <c r="T17" s="123"/>
      <c r="U17" s="123"/>
      <c r="V17" s="92"/>
      <c r="W17" s="92"/>
      <c r="X17" s="92"/>
      <c r="Y17" s="38"/>
      <c r="Z17" s="39"/>
      <c r="AA17" s="39"/>
      <c r="AB17" s="39"/>
      <c r="AC17" s="39"/>
      <c r="AD17" s="39"/>
      <c r="AE17" s="39"/>
      <c r="AF17" s="39"/>
    </row>
    <row r="18" spans="1:32" ht="15.75" customHeight="1">
      <c r="A18" s="92"/>
      <c r="B18" s="75"/>
      <c r="C18" s="522" t="s">
        <v>187</v>
      </c>
      <c r="D18" s="522"/>
      <c r="E18" s="522"/>
      <c r="F18" s="522"/>
      <c r="G18" s="522"/>
      <c r="H18" s="62"/>
      <c r="I18" s="222">
        <f>'I. ESG Factors Report - FI (1)'!I18</f>
        <v>0</v>
      </c>
      <c r="J18" s="223"/>
      <c r="K18" s="224">
        <f>'I. ESG Factors Report - FI (1)'!K18</f>
        <v>0</v>
      </c>
      <c r="L18" s="60"/>
      <c r="M18" s="62"/>
      <c r="N18" s="60"/>
      <c r="O18" s="62"/>
      <c r="P18" s="60"/>
      <c r="Q18" s="60"/>
      <c r="R18" s="36"/>
      <c r="S18" s="92"/>
      <c r="T18" s="123"/>
      <c r="U18" s="123"/>
      <c r="V18" s="92"/>
      <c r="W18" s="92"/>
      <c r="X18" s="92"/>
      <c r="Y18" s="38"/>
      <c r="Z18" s="39"/>
      <c r="AA18" s="39"/>
      <c r="AB18" s="39"/>
      <c r="AC18" s="39"/>
      <c r="AD18" s="39"/>
      <c r="AE18" s="39"/>
      <c r="AF18" s="39"/>
    </row>
    <row r="19" spans="1:32" ht="15.75" customHeight="1">
      <c r="A19" s="92"/>
      <c r="B19" s="75"/>
      <c r="C19" s="523" t="s">
        <v>188</v>
      </c>
      <c r="D19" s="523"/>
      <c r="E19" s="523"/>
      <c r="F19" s="523"/>
      <c r="G19" s="523"/>
      <c r="H19" s="62"/>
      <c r="I19" s="219">
        <f>'I. ESG Factors Report - FI (1)'!I19</f>
        <v>25</v>
      </c>
      <c r="J19" s="60"/>
      <c r="K19" s="225">
        <f>'I. ESG Factors Report - FI (1)'!K19</f>
        <v>1</v>
      </c>
      <c r="L19" s="60"/>
      <c r="M19" s="62"/>
      <c r="N19" s="60"/>
      <c r="O19" s="62"/>
      <c r="P19" s="60"/>
      <c r="Q19" s="60"/>
      <c r="R19" s="36"/>
      <c r="S19" s="499" t="s">
        <v>189</v>
      </c>
      <c r="T19" s="500"/>
      <c r="U19" s="501"/>
      <c r="V19" s="92"/>
      <c r="W19" s="492" t="str">
        <f>IF($I$10=" &lt;&lt;&lt; Select Index &gt;&gt;&gt;","",IF(ISERROR(VLOOKUP($I$10&amp;$I$12,'Database - FI'!$B:$DG,110,FALSE))=TRUE,"†",IF(ISBLANK((VLOOKUP($I$10&amp;$I$12,'Database - FI'!$B:$DG,110,FALSE))),"",VLOOKUP($I$10&amp;$I$12,'Database - FI'!$B:$DG,110,FALSE))))</f>
        <v>Sustainalytics</v>
      </c>
      <c r="X19" s="493"/>
      <c r="Y19" s="494"/>
      <c r="Z19" s="39"/>
      <c r="AA19" s="39"/>
      <c r="AB19" s="39"/>
      <c r="AC19" s="39"/>
      <c r="AD19" s="39"/>
      <c r="AE19" s="39"/>
      <c r="AF19" s="39"/>
    </row>
    <row r="20" spans="1:32" ht="18" customHeight="1">
      <c r="A20" s="92"/>
      <c r="B20" s="75"/>
      <c r="C20" s="5"/>
      <c r="D20" s="5"/>
      <c r="E20" s="92"/>
      <c r="F20" s="92"/>
      <c r="G20" s="92"/>
      <c r="H20" s="92"/>
      <c r="I20" s="92"/>
      <c r="J20" s="60"/>
      <c r="K20" s="60"/>
      <c r="L20" s="60"/>
      <c r="M20" s="62"/>
      <c r="N20" s="60"/>
      <c r="O20" s="62"/>
      <c r="P20" s="60"/>
      <c r="Q20" s="60"/>
      <c r="R20" s="36"/>
      <c r="S20" s="92"/>
      <c r="T20" s="123"/>
      <c r="U20" s="123"/>
      <c r="V20" s="92"/>
      <c r="W20" s="92"/>
      <c r="X20" s="92"/>
      <c r="Y20" s="38"/>
      <c r="Z20" s="39"/>
      <c r="AA20" s="39"/>
      <c r="AB20" s="39"/>
      <c r="AC20" s="39"/>
      <c r="AD20" s="39"/>
      <c r="AE20" s="39"/>
      <c r="AF20" s="39"/>
    </row>
    <row r="21" spans="1:32" s="147" customFormat="1" ht="18">
      <c r="A21" s="115"/>
      <c r="B21" s="265" t="s">
        <v>94</v>
      </c>
      <c r="C21" s="266"/>
      <c r="D21" s="266"/>
      <c r="E21" s="267"/>
      <c r="F21" s="267"/>
      <c r="G21" s="267"/>
      <c r="H21" s="267"/>
      <c r="I21" s="267"/>
      <c r="J21" s="267"/>
      <c r="K21" s="267"/>
      <c r="L21" s="267"/>
      <c r="M21" s="267"/>
      <c r="N21" s="267"/>
      <c r="O21" s="267"/>
      <c r="P21" s="267"/>
      <c r="Q21" s="266"/>
      <c r="R21" s="267"/>
      <c r="S21" s="267"/>
      <c r="T21" s="267"/>
      <c r="U21" s="267"/>
      <c r="V21" s="267"/>
      <c r="W21" s="267"/>
      <c r="X21" s="267"/>
      <c r="Y21" s="267"/>
      <c r="Z21" s="115"/>
    </row>
    <row r="22" spans="1:32" ht="7.5" customHeight="1">
      <c r="A22" s="92"/>
      <c r="B22" s="92"/>
      <c r="C22" s="92"/>
      <c r="D22" s="92"/>
      <c r="E22" s="92"/>
      <c r="F22" s="92"/>
      <c r="G22" s="92"/>
      <c r="H22" s="92"/>
      <c r="I22" s="92"/>
      <c r="J22" s="92"/>
      <c r="K22" s="92"/>
      <c r="L22" s="92"/>
      <c r="M22" s="92"/>
      <c r="N22" s="92"/>
      <c r="O22" s="92"/>
      <c r="P22" s="92"/>
      <c r="Q22" s="92"/>
      <c r="R22" s="92"/>
      <c r="S22" s="92"/>
      <c r="T22" s="92"/>
      <c r="U22" s="92"/>
      <c r="V22" s="92"/>
      <c r="W22" s="92"/>
      <c r="X22" s="92"/>
      <c r="Y22" s="92"/>
      <c r="Z22" s="92"/>
    </row>
    <row r="23" spans="1:32" ht="38.25" customHeight="1">
      <c r="A23" s="92"/>
      <c r="B23" s="355" t="s">
        <v>190</v>
      </c>
      <c r="C23" s="355"/>
      <c r="D23" s="355"/>
      <c r="E23" s="229"/>
      <c r="F23" s="521" t="s">
        <v>191</v>
      </c>
      <c r="G23" s="521"/>
      <c r="H23" s="521"/>
      <c r="I23" s="521"/>
      <c r="J23" s="521"/>
      <c r="K23" s="521"/>
      <c r="L23" s="92"/>
      <c r="M23" s="230" t="s">
        <v>192</v>
      </c>
      <c r="N23" s="92"/>
      <c r="O23" s="268" t="s">
        <v>44</v>
      </c>
      <c r="P23" s="92"/>
      <c r="Q23" s="485" t="s">
        <v>47</v>
      </c>
      <c r="R23" s="485"/>
      <c r="S23" s="485"/>
      <c r="T23" s="485"/>
      <c r="U23" s="485"/>
      <c r="V23" s="485"/>
      <c r="W23" s="485"/>
      <c r="X23" s="485"/>
      <c r="Y23" s="485"/>
      <c r="Z23" s="92"/>
    </row>
    <row r="24" spans="1:32" ht="7.5" customHeight="1">
      <c r="A24" s="92"/>
      <c r="B24" s="92"/>
      <c r="C24" s="92"/>
      <c r="D24" s="92"/>
      <c r="E24" s="92"/>
      <c r="F24" s="92"/>
      <c r="G24" s="92"/>
      <c r="H24" s="92"/>
      <c r="I24" s="92"/>
      <c r="J24" s="92"/>
      <c r="K24" s="92"/>
      <c r="L24" s="92"/>
      <c r="M24" s="92"/>
      <c r="N24" s="92"/>
      <c r="O24" s="92"/>
      <c r="P24" s="92"/>
      <c r="Q24" s="92"/>
      <c r="R24" s="92"/>
      <c r="S24" s="75"/>
      <c r="T24" s="75"/>
      <c r="U24" s="75"/>
      <c r="V24" s="92"/>
      <c r="W24" s="92"/>
      <c r="X24" s="92"/>
      <c r="Y24" s="92"/>
      <c r="Z24" s="92"/>
    </row>
    <row r="25" spans="1:32" ht="32.25" customHeight="1">
      <c r="A25" s="92"/>
      <c r="B25" s="527" t="s">
        <v>250</v>
      </c>
      <c r="C25" s="527"/>
      <c r="D25" s="527"/>
      <c r="E25" s="92"/>
      <c r="F25" s="529" t="s">
        <v>251</v>
      </c>
      <c r="G25" s="530"/>
      <c r="H25" s="530"/>
      <c r="I25" s="530"/>
      <c r="J25" s="530"/>
      <c r="K25" s="531"/>
      <c r="L25" s="66"/>
      <c r="M25" s="276">
        <f>IF($I$14="Fixed Income","Not applicable/Not Sovereign Debt Index",IF($I$10=" &lt;&lt;&lt; Select Index &gt;&gt;&gt;","",IF(ISERROR(VLOOKUP($I$10&amp;$I$12,'Database - FI'!$B:$DC,85,FALSE))=TRUE,"†",IF(ISBLANK((VLOOKUP($I$10&amp;$I$12,'Database - FI'!$B:$DC,85,FALSE))),"",VLOOKUP($I$10&amp;$I$12,'Database - FI'!$B:$DC,85,FALSE)))))</f>
        <v>0</v>
      </c>
      <c r="N25" s="67"/>
      <c r="O25" s="269" t="s">
        <v>231</v>
      </c>
      <c r="P25" s="92"/>
      <c r="Q25" s="461" t="str">
        <f>IF(W19="MSCI",REF!BQ5,REF!BQ4)</f>
        <v>The count of constituents with relevant country events (repression, conflict or corruption) identified by Sustainalytics.</v>
      </c>
      <c r="R25" s="462"/>
      <c r="S25" s="462"/>
      <c r="T25" s="462"/>
      <c r="U25" s="462"/>
      <c r="V25" s="462"/>
      <c r="W25" s="462"/>
      <c r="X25" s="462"/>
      <c r="Y25" s="463"/>
      <c r="Z25" s="92"/>
    </row>
    <row r="26" spans="1:32" ht="45" customHeight="1">
      <c r="A26" s="92"/>
      <c r="B26" s="528"/>
      <c r="C26" s="528"/>
      <c r="D26" s="528"/>
      <c r="E26" s="92"/>
      <c r="F26" s="532"/>
      <c r="G26" s="519"/>
      <c r="H26" s="519"/>
      <c r="I26" s="519"/>
      <c r="J26" s="519"/>
      <c r="K26" s="520"/>
      <c r="L26" s="66"/>
      <c r="M26" s="277">
        <f>IF($I$14="Fixed Income","Not applicable/Not Sovereign Debt Index",IF($I$10=" &lt;&lt;&lt; Select Index &gt;&gt;&gt;","",IF(M25="-","-",M25/I16)))</f>
        <v>0</v>
      </c>
      <c r="N26" s="67"/>
      <c r="O26" s="269" t="s">
        <v>232</v>
      </c>
      <c r="P26" s="92"/>
      <c r="Q26" s="461" t="str">
        <f>IF(W19="MSCI",REF!BR5,REF!BR4)</f>
        <v>The count of constituents with relevant country events (repression, conflict or corruption) identified by Sustainalytics, divided by the total index constituent count.</v>
      </c>
      <c r="R26" s="462"/>
      <c r="S26" s="462"/>
      <c r="T26" s="462"/>
      <c r="U26" s="462"/>
      <c r="V26" s="462"/>
      <c r="W26" s="462"/>
      <c r="X26" s="462"/>
      <c r="Y26" s="463"/>
      <c r="Z26" s="92"/>
    </row>
    <row r="27" spans="1:32" ht="6.75" customHeight="1">
      <c r="A27" s="92"/>
      <c r="B27" s="92"/>
      <c r="C27" s="92"/>
      <c r="D27" s="92"/>
      <c r="E27" s="92"/>
      <c r="F27" s="234"/>
      <c r="G27" s="234"/>
      <c r="H27" s="234"/>
      <c r="I27" s="234"/>
      <c r="J27" s="234"/>
      <c r="K27" s="234"/>
      <c r="L27" s="92"/>
      <c r="M27" s="92"/>
      <c r="N27" s="92"/>
      <c r="O27" s="235"/>
      <c r="P27" s="92"/>
      <c r="Q27" s="92"/>
      <c r="R27" s="92"/>
      <c r="S27" s="92"/>
      <c r="T27" s="92"/>
      <c r="U27" s="92"/>
      <c r="V27" s="92"/>
      <c r="W27" s="92"/>
      <c r="X27" s="92"/>
      <c r="Y27" s="92"/>
      <c r="Z27" s="92"/>
    </row>
    <row r="28" spans="1:32" ht="15" customHeight="1">
      <c r="A28" s="92"/>
      <c r="B28" s="92"/>
      <c r="C28" s="92"/>
      <c r="D28" s="92"/>
      <c r="E28" s="92"/>
      <c r="F28" s="234"/>
      <c r="G28" s="234"/>
      <c r="H28" s="92"/>
      <c r="I28" s="455" t="s">
        <v>194</v>
      </c>
      <c r="J28" s="455"/>
      <c r="K28" s="455"/>
      <c r="L28" s="92"/>
      <c r="M28" s="236">
        <f>IF($I$14="Fixed Income","",IF($I$10=" &lt;&lt;&lt; Select Index &gt;&gt;&gt;","",IF(ISERROR(VLOOKUP($I$10&amp;$I$12,'Database - FI'!$B:$DC,87,FALSE))=TRUE,"†",IF(ISBLANK((VLOOKUP($I$10&amp;$I$12,'Database - FI'!$B:$DC,87,FALSE))),"",VLOOKUP($I$10&amp;$I$12,'Database - FI'!$B:$DC,87,FALSE)))))</f>
        <v>1</v>
      </c>
      <c r="N28" s="92"/>
      <c r="O28" s="235"/>
      <c r="P28" s="92"/>
      <c r="Q28" s="92"/>
      <c r="R28" s="92"/>
      <c r="S28" s="92"/>
      <c r="T28" s="92"/>
      <c r="U28" s="92"/>
      <c r="V28" s="92"/>
      <c r="W28" s="92"/>
      <c r="X28" s="92"/>
      <c r="Y28" s="92"/>
      <c r="Z28" s="92"/>
    </row>
    <row r="29" spans="1:32" ht="15" customHeight="1">
      <c r="A29" s="92"/>
      <c r="B29" s="92"/>
      <c r="C29" s="92"/>
      <c r="D29" s="92"/>
      <c r="E29" s="92"/>
      <c r="F29" s="234"/>
      <c r="G29" s="234"/>
      <c r="H29" s="92"/>
      <c r="I29" s="455" t="s">
        <v>195</v>
      </c>
      <c r="J29" s="455"/>
      <c r="K29" s="455"/>
      <c r="L29" s="92"/>
      <c r="M29" s="237">
        <f>IF($I$14="Fixed Income","",IF($I$10=" &lt;&lt;&lt; Select Index &gt;&gt;&gt;","",IF(ISERROR(VLOOKUP($I$10&amp;$I$12,'Database - FI'!$B:$DC,86,FALSE))=TRUE,"†",IF(ISBLANK((VLOOKUP($I$10&amp;$I$12,'Database - FI'!$B:$DC,86,FALSE))),"",VLOOKUP($I$10&amp;$I$12,'Database - FI'!$B:$DC,86,FALSE)))))</f>
        <v>0.99866101368262505</v>
      </c>
      <c r="N29" s="92"/>
      <c r="O29" s="235"/>
      <c r="P29" s="92"/>
      <c r="Q29" s="92"/>
      <c r="R29" s="92"/>
      <c r="S29" s="92"/>
      <c r="T29" s="92"/>
      <c r="U29" s="92"/>
      <c r="V29" s="92"/>
      <c r="W29" s="92"/>
      <c r="X29" s="92"/>
      <c r="Y29" s="92"/>
      <c r="Z29" s="92"/>
    </row>
    <row r="30" spans="1:32" ht="18" customHeight="1">
      <c r="A30" s="92"/>
      <c r="B30" s="92"/>
      <c r="C30" s="92"/>
      <c r="D30" s="92"/>
      <c r="E30" s="92"/>
      <c r="F30" s="234"/>
      <c r="G30" s="234"/>
      <c r="H30" s="92"/>
      <c r="I30" s="243"/>
      <c r="J30" s="243"/>
      <c r="K30" s="75"/>
      <c r="L30" s="75"/>
      <c r="M30" s="75"/>
      <c r="N30" s="92"/>
      <c r="O30" s="235"/>
      <c r="P30" s="92"/>
      <c r="Q30" s="92"/>
      <c r="R30" s="92"/>
      <c r="S30" s="92"/>
      <c r="T30" s="92"/>
      <c r="U30" s="92"/>
      <c r="V30" s="92"/>
      <c r="W30" s="92"/>
      <c r="X30" s="92"/>
      <c r="Y30" s="92"/>
      <c r="Z30" s="92"/>
    </row>
    <row r="31" spans="1:32" ht="36.75" customHeight="1">
      <c r="A31" s="92"/>
      <c r="B31" s="457" t="s">
        <v>250</v>
      </c>
      <c r="C31" s="457"/>
      <c r="D31" s="457"/>
      <c r="E31" s="92"/>
      <c r="F31" s="486" t="s">
        <v>252</v>
      </c>
      <c r="G31" s="487"/>
      <c r="H31" s="487"/>
      <c r="I31" s="487"/>
      <c r="J31" s="487"/>
      <c r="K31" s="488"/>
      <c r="L31" s="66"/>
      <c r="M31" s="278">
        <f>IF($I$14="Fixed Income","Not applicable/Not Sovereign Debt Index",IF($I$10=" &lt;&lt;&lt; Select Index &gt;&gt;&gt;","",IF(ISERROR(VLOOKUP($I$10&amp;$I$12,'Database - FI'!$B:$DC,88,FALSE))=TRUE,"†",IF(ISBLANK((VLOOKUP($I$10&amp;$I$12,'Database - FI'!$B:$DC,88,FALSE))),"",VLOOKUP($I$10&amp;$I$12,'Database - FI'!$B:$DC,88,FALSE)))))</f>
        <v>60.118293084472398</v>
      </c>
      <c r="N31" s="67"/>
      <c r="O31" s="269" t="s">
        <v>253</v>
      </c>
      <c r="P31" s="92"/>
      <c r="Q31" s="461" t="str">
        <f>IF(W19="MSCI",REF!BS5,REF!BS4)</f>
        <v>The ‘Weighted-Average Human Rights Score’ is an index weighted average of the Sustainalytics 'Human Rights Score' of index constituents. Scores range between 0 (worst) and 100 (best).</v>
      </c>
      <c r="R31" s="462"/>
      <c r="S31" s="462"/>
      <c r="T31" s="462"/>
      <c r="U31" s="462"/>
      <c r="V31" s="462"/>
      <c r="W31" s="462"/>
      <c r="X31" s="462"/>
      <c r="Y31" s="463"/>
      <c r="Z31" s="92"/>
    </row>
    <row r="32" spans="1:32" ht="6.75" customHeight="1">
      <c r="A32" s="92"/>
      <c r="B32" s="92"/>
      <c r="C32" s="92"/>
      <c r="D32" s="92"/>
      <c r="E32" s="92"/>
      <c r="F32" s="234"/>
      <c r="G32" s="234"/>
      <c r="H32" s="234"/>
      <c r="I32" s="234"/>
      <c r="J32" s="234"/>
      <c r="K32" s="234"/>
      <c r="L32" s="92"/>
      <c r="M32" s="92"/>
      <c r="N32" s="92"/>
      <c r="O32" s="235"/>
      <c r="P32" s="92"/>
      <c r="Q32" s="92"/>
      <c r="R32" s="92"/>
      <c r="S32" s="92"/>
      <c r="T32" s="92"/>
      <c r="U32" s="92"/>
      <c r="V32" s="92"/>
      <c r="W32" s="92"/>
      <c r="X32" s="92"/>
      <c r="Y32" s="92"/>
      <c r="Z32" s="92"/>
    </row>
    <row r="33" spans="1:27" ht="15" customHeight="1">
      <c r="A33" s="92"/>
      <c r="B33" s="92"/>
      <c r="C33" s="92"/>
      <c r="D33" s="92"/>
      <c r="E33" s="92"/>
      <c r="F33" s="234"/>
      <c r="G33" s="234"/>
      <c r="H33" s="92"/>
      <c r="I33" s="455" t="s">
        <v>194</v>
      </c>
      <c r="J33" s="455"/>
      <c r="K33" s="455"/>
      <c r="L33" s="92"/>
      <c r="M33" s="236">
        <f>IF($I$14="Fixed Income","",IF($I$10=" &lt;&lt;&lt; Select Index &gt;&gt;&gt;","",IF(ISERROR(VLOOKUP($I$10&amp;$I$12,'Database - FI'!$B:$DC,90,FALSE))=TRUE,"†",IF(ISBLANK((VLOOKUP($I$10&amp;$I$12,'Database - FI'!$B:$DC,90,FALSE))),"",VLOOKUP($I$10&amp;$I$12,'Database - FI'!$B:$DC,90,FALSE)))))</f>
        <v>1</v>
      </c>
      <c r="N33" s="92"/>
      <c r="O33" s="235"/>
      <c r="P33" s="92"/>
      <c r="Q33" s="92"/>
      <c r="R33" s="92"/>
      <c r="S33" s="92"/>
      <c r="T33" s="92"/>
      <c r="U33" s="92"/>
      <c r="V33" s="92"/>
      <c r="W33" s="92"/>
      <c r="X33" s="92"/>
      <c r="Y33" s="92"/>
      <c r="Z33" s="92"/>
    </row>
    <row r="34" spans="1:27" ht="15" customHeight="1">
      <c r="A34" s="92"/>
      <c r="B34" s="92"/>
      <c r="C34" s="92"/>
      <c r="D34" s="92"/>
      <c r="E34" s="92"/>
      <c r="F34" s="234"/>
      <c r="G34" s="234"/>
      <c r="H34" s="92"/>
      <c r="I34" s="455" t="s">
        <v>195</v>
      </c>
      <c r="J34" s="455"/>
      <c r="K34" s="455"/>
      <c r="L34" s="92"/>
      <c r="M34" s="237">
        <f>IF($I$14="Fixed Income","",IF($I$10=" &lt;&lt;&lt; Select Index &gt;&gt;&gt;","",IF(ISERROR(VLOOKUP($I$10&amp;$I$12,'Database - FI'!$B:$DC,89,FALSE))=TRUE,"†",IF(ISBLANK((VLOOKUP($I$10&amp;$I$12,'Database - FI'!$B:$DC,89,FALSE))),"",VLOOKUP($I$10&amp;$I$12,'Database - FI'!$B:$DC,89,FALSE)))))</f>
        <v>0.99866101368262505</v>
      </c>
      <c r="N34" s="92"/>
      <c r="O34" s="235"/>
      <c r="P34" s="92"/>
      <c r="Q34" s="92"/>
      <c r="R34" s="92"/>
      <c r="S34" s="92"/>
      <c r="T34" s="92"/>
      <c r="U34" s="92"/>
      <c r="V34" s="92"/>
      <c r="W34" s="92"/>
      <c r="X34" s="92"/>
      <c r="Y34" s="92"/>
      <c r="Z34" s="92"/>
    </row>
    <row r="35" spans="1:27" ht="18" customHeight="1">
      <c r="A35" s="92"/>
      <c r="B35" s="92"/>
      <c r="C35" s="92"/>
      <c r="D35" s="92"/>
      <c r="E35" s="92"/>
      <c r="F35" s="92"/>
      <c r="G35" s="92"/>
      <c r="H35" s="92"/>
      <c r="I35" s="92"/>
      <c r="J35" s="92"/>
      <c r="K35" s="92"/>
      <c r="L35" s="92"/>
      <c r="M35" s="92"/>
      <c r="N35" s="92"/>
      <c r="O35" s="238"/>
      <c r="P35" s="92"/>
      <c r="Q35" s="92"/>
      <c r="R35" s="92"/>
      <c r="S35" s="75"/>
      <c r="T35" s="75"/>
      <c r="U35" s="75"/>
      <c r="V35" s="92"/>
      <c r="W35" s="92"/>
      <c r="X35" s="92"/>
      <c r="Y35" s="92"/>
      <c r="Z35" s="92"/>
    </row>
    <row r="36" spans="1:27" s="132" customFormat="1" ht="36.75" customHeight="1">
      <c r="A36" s="93"/>
      <c r="B36" s="457" t="s">
        <v>250</v>
      </c>
      <c r="C36" s="457"/>
      <c r="D36" s="457"/>
      <c r="E36" s="92"/>
      <c r="F36" s="458" t="s">
        <v>254</v>
      </c>
      <c r="G36" s="459"/>
      <c r="H36" s="459"/>
      <c r="I36" s="459"/>
      <c r="J36" s="459"/>
      <c r="K36" s="460"/>
      <c r="L36" s="66"/>
      <c r="M36" s="278">
        <f>IF($I$14="Fixed Income","Not applicable/Not Sovereign Debt Index",IF($I$10=" &lt;&lt;&lt; Select Index &gt;&gt;&gt;","",IF(ISERROR(VLOOKUP($I$10&amp;$I$12,'Database - FI'!$B:$DC,24,FALSE))=TRUE,"†",IF(ISBLANK((VLOOKUP($I$10&amp;$I$12,'Database - FI'!$B:$DC,24,FALSE))),"",VLOOKUP($I$10&amp;$I$12,'Database - FI'!$B:$DC,24,FALSE)))))</f>
        <v>59.162462183724202</v>
      </c>
      <c r="N36" s="67"/>
      <c r="O36" s="269" t="s">
        <v>255</v>
      </c>
      <c r="P36" s="92"/>
      <c r="Q36" s="461" t="s">
        <v>256</v>
      </c>
      <c r="R36" s="462"/>
      <c r="S36" s="462"/>
      <c r="T36" s="462"/>
      <c r="U36" s="462"/>
      <c r="V36" s="462"/>
      <c r="W36" s="462"/>
      <c r="X36" s="462"/>
      <c r="Y36" s="463"/>
      <c r="Z36" s="93"/>
    </row>
    <row r="37" spans="1:27" s="132" customFormat="1" ht="6" customHeight="1">
      <c r="A37" s="93"/>
      <c r="B37" s="92"/>
      <c r="C37" s="92"/>
      <c r="D37" s="92"/>
      <c r="E37" s="92"/>
      <c r="F37" s="92"/>
      <c r="G37" s="92"/>
      <c r="H37" s="92"/>
      <c r="I37" s="92"/>
      <c r="J37" s="92"/>
      <c r="K37" s="92"/>
      <c r="L37" s="92"/>
      <c r="M37" s="92"/>
      <c r="N37" s="92"/>
      <c r="O37" s="235"/>
      <c r="P37" s="92"/>
      <c r="Q37" s="92"/>
      <c r="R37" s="92"/>
      <c r="S37" s="92"/>
      <c r="T37" s="92"/>
      <c r="U37" s="92"/>
      <c r="V37" s="92"/>
      <c r="W37" s="92"/>
      <c r="X37" s="92"/>
      <c r="Y37" s="92"/>
      <c r="Z37" s="93"/>
    </row>
    <row r="38" spans="1:27" s="132" customFormat="1" ht="15" customHeight="1">
      <c r="A38" s="93"/>
      <c r="B38" s="92"/>
      <c r="C38" s="92"/>
      <c r="D38" s="92"/>
      <c r="E38" s="92"/>
      <c r="F38" s="92"/>
      <c r="G38" s="92"/>
      <c r="H38" s="92"/>
      <c r="I38" s="455" t="s">
        <v>194</v>
      </c>
      <c r="J38" s="455"/>
      <c r="K38" s="455"/>
      <c r="L38" s="92"/>
      <c r="M38" s="236">
        <f>IF($I$14="Fixed Income","",IF($I$10=" &lt;&lt;&lt; Select Index &gt;&gt;&gt;","",IF(ISERROR(VLOOKUP($I$10&amp;$I$12,'Database - FI'!$B:$DC,26,FALSE))=TRUE,"†",IF(ISBLANK((VLOOKUP($I$10&amp;$I$12,'Database - FI'!$B:$DC,26,FALSE))),"",VLOOKUP($I$10&amp;$I$12,'Database - FI'!$B:$DC,26,FALSE)))))</f>
        <v>0.84</v>
      </c>
      <c r="N38" s="92"/>
      <c r="O38" s="235"/>
      <c r="P38" s="92"/>
      <c r="Q38" s="92"/>
      <c r="R38" s="92"/>
      <c r="S38" s="92"/>
      <c r="T38" s="92"/>
      <c r="U38" s="92"/>
      <c r="V38" s="92"/>
      <c r="W38" s="92"/>
      <c r="X38" s="92"/>
      <c r="Y38" s="92"/>
      <c r="Z38" s="93"/>
    </row>
    <row r="39" spans="1:27" s="132" customFormat="1" ht="15" customHeight="1">
      <c r="A39" s="93"/>
      <c r="B39" s="92"/>
      <c r="C39" s="92"/>
      <c r="D39" s="92"/>
      <c r="E39" s="92"/>
      <c r="F39" s="92"/>
      <c r="G39" s="92"/>
      <c r="H39" s="92"/>
      <c r="I39" s="455" t="s">
        <v>195</v>
      </c>
      <c r="J39" s="455"/>
      <c r="K39" s="455"/>
      <c r="L39" s="92"/>
      <c r="M39" s="237">
        <f>IF($I$14="Fixed Income","",IF($I$10=" &lt;&lt;&lt; Select Index &gt;&gt;&gt;","",IF(ISERROR(VLOOKUP($I$10&amp;$I$12,'Database - FI'!$B:$DC,25,FALSE))=TRUE,"†",IF(ISBLANK((VLOOKUP($I$10&amp;$I$12,'Database - FI'!$B:$DC,25,FALSE))),"",VLOOKUP($I$10&amp;$I$12,'Database - FI'!$B:$DC,25,FALSE)))))</f>
        <v>0.80994773820409605</v>
      </c>
      <c r="N39" s="92"/>
      <c r="O39" s="235"/>
      <c r="P39" s="92"/>
      <c r="Q39" s="92"/>
      <c r="R39" s="92"/>
      <c r="S39" s="92"/>
      <c r="T39" s="92"/>
      <c r="U39" s="92"/>
      <c r="V39" s="92"/>
      <c r="W39" s="92"/>
      <c r="X39" s="92"/>
      <c r="Y39" s="92"/>
      <c r="Z39" s="93"/>
    </row>
    <row r="40" spans="1:27" s="132" customFormat="1" ht="18" customHeight="1">
      <c r="A40" s="93"/>
      <c r="B40" s="92"/>
      <c r="C40" s="92"/>
      <c r="D40" s="92"/>
      <c r="E40" s="92"/>
      <c r="F40" s="92"/>
      <c r="G40" s="92"/>
      <c r="H40" s="92"/>
      <c r="I40" s="243"/>
      <c r="J40" s="243"/>
      <c r="K40" s="243"/>
      <c r="L40" s="92"/>
      <c r="M40" s="237"/>
      <c r="N40" s="92"/>
      <c r="O40" s="235"/>
      <c r="P40" s="92"/>
      <c r="Q40" s="92"/>
      <c r="R40" s="92"/>
      <c r="S40" s="92"/>
      <c r="T40" s="92"/>
      <c r="U40" s="92"/>
      <c r="V40" s="92"/>
      <c r="W40" s="92"/>
      <c r="X40" s="92"/>
      <c r="Y40" s="92"/>
      <c r="Z40" s="93"/>
    </row>
    <row r="41" spans="1:27" s="132" customFormat="1" ht="32.25" customHeight="1">
      <c r="A41" s="93"/>
      <c r="B41" s="457" t="s">
        <v>250</v>
      </c>
      <c r="C41" s="457"/>
      <c r="D41" s="457"/>
      <c r="E41" s="92"/>
      <c r="F41" s="458" t="s">
        <v>257</v>
      </c>
      <c r="G41" s="459"/>
      <c r="H41" s="459"/>
      <c r="I41" s="459"/>
      <c r="J41" s="459"/>
      <c r="K41" s="460"/>
      <c r="L41" s="66"/>
      <c r="M41" s="278">
        <f>IF($I$14="Fixed Income","Not applicable/Not Sovereign Debt Index",IF($I$10=" &lt;&lt;&lt; Select Index &gt;&gt;&gt;","",IF(ISERROR(VLOOKUP($I$10&amp;$I$12,'Database - FI'!$B:$DC,27,FALSE))=TRUE,"†",IF(ISBLANK((VLOOKUP($I$10&amp;$I$12,'Database - FI'!$B:$DC,27,FALSE))),"",VLOOKUP($I$10&amp;$I$12,'Database - FI'!$B:$DC,27,FALSE)))))</f>
        <v>73.176308888050002</v>
      </c>
      <c r="N41" s="67"/>
      <c r="O41" s="269" t="s">
        <v>258</v>
      </c>
      <c r="P41" s="92"/>
      <c r="Q41" s="461" t="str">
        <f>IF(W19="MSCI",REF!BU5,REF!BU4)</f>
        <v>The ‘Weighted-Average Press Freedom Score’ is an index weighted average of the Sustainalytics 'Voice and Accountabilty Score' of index constituents. Scores range between 0 (worst) and 100 (best).</v>
      </c>
      <c r="R41" s="462"/>
      <c r="S41" s="462"/>
      <c r="T41" s="462"/>
      <c r="U41" s="462"/>
      <c r="V41" s="462"/>
      <c r="W41" s="462"/>
      <c r="X41" s="462"/>
      <c r="Y41" s="463"/>
      <c r="Z41" s="93"/>
    </row>
    <row r="42" spans="1:27" s="132" customFormat="1" ht="6" customHeight="1">
      <c r="A42" s="93"/>
      <c r="B42" s="92"/>
      <c r="C42" s="92"/>
      <c r="D42" s="92"/>
      <c r="E42" s="92"/>
      <c r="F42" s="92"/>
      <c r="G42" s="92"/>
      <c r="H42" s="92"/>
      <c r="I42" s="92"/>
      <c r="J42" s="92"/>
      <c r="K42" s="92"/>
      <c r="L42" s="92"/>
      <c r="M42" s="92"/>
      <c r="N42" s="92"/>
      <c r="O42" s="235"/>
      <c r="P42" s="92"/>
      <c r="Q42" s="92"/>
      <c r="R42" s="92"/>
      <c r="S42" s="92"/>
      <c r="T42" s="92"/>
      <c r="U42" s="92"/>
      <c r="V42" s="92"/>
      <c r="W42" s="92"/>
      <c r="X42" s="92"/>
      <c r="Y42" s="92"/>
      <c r="Z42" s="93"/>
    </row>
    <row r="43" spans="1:27" s="132" customFormat="1" ht="15" customHeight="1">
      <c r="A43" s="93"/>
      <c r="B43" s="92"/>
      <c r="C43" s="92"/>
      <c r="D43" s="92"/>
      <c r="E43" s="92"/>
      <c r="F43" s="92"/>
      <c r="G43" s="92"/>
      <c r="H43" s="92"/>
      <c r="I43" s="455" t="s">
        <v>194</v>
      </c>
      <c r="J43" s="455"/>
      <c r="K43" s="455"/>
      <c r="L43" s="92"/>
      <c r="M43" s="236">
        <f>IF($I$14="Fixed Income","",IF($I$10=" &lt;&lt;&lt; Select Index &gt;&gt;&gt;","",IF(ISERROR(VLOOKUP($I$10&amp;$I$12,'Database - FI'!$B:$DC,29,FALSE))=TRUE,"†",IF(ISBLANK((VLOOKUP($I$10&amp;$I$12,'Database - FI'!$B:$DC,29,FALSE))),"",VLOOKUP($I$10&amp;$I$12,'Database - FI'!$B:$DC,29,FALSE)))))</f>
        <v>1</v>
      </c>
      <c r="N43" s="92"/>
      <c r="O43" s="235"/>
      <c r="P43" s="92"/>
      <c r="Q43" s="92"/>
      <c r="R43" s="92"/>
      <c r="S43" s="92"/>
      <c r="T43" s="92"/>
      <c r="U43" s="92"/>
      <c r="V43" s="92"/>
      <c r="W43" s="92"/>
      <c r="X43" s="92"/>
      <c r="Y43" s="92"/>
      <c r="Z43" s="93"/>
    </row>
    <row r="44" spans="1:27" s="132" customFormat="1" ht="15" customHeight="1">
      <c r="A44" s="93"/>
      <c r="B44" s="92"/>
      <c r="C44" s="92"/>
      <c r="D44" s="92"/>
      <c r="E44" s="92"/>
      <c r="F44" s="92"/>
      <c r="G44" s="92"/>
      <c r="H44" s="92"/>
      <c r="I44" s="455" t="s">
        <v>195</v>
      </c>
      <c r="J44" s="455"/>
      <c r="K44" s="455"/>
      <c r="L44" s="92"/>
      <c r="M44" s="237">
        <f>IF($I$14="Fixed Income","",IF($I$10=" &lt;&lt;&lt; Select Index &gt;&gt;&gt;","",IF(ISERROR(VLOOKUP($I$10&amp;$I$12,'Database - FI'!$B:$DC,28,FALSE))=TRUE,"†",IF(ISBLANK((VLOOKUP($I$10&amp;$I$12,'Database - FI'!$B:$DC,28,FALSE))),"",VLOOKUP($I$10&amp;$I$12,'Database - FI'!$B:$DC,28,FALSE)))))</f>
        <v>0.99866101368262505</v>
      </c>
      <c r="N44" s="92"/>
      <c r="O44" s="235"/>
      <c r="P44" s="92"/>
      <c r="Q44" s="92"/>
      <c r="R44" s="92"/>
      <c r="S44" s="92"/>
      <c r="T44" s="92"/>
      <c r="U44" s="92"/>
      <c r="V44" s="92"/>
      <c r="W44" s="92"/>
      <c r="X44" s="92"/>
      <c r="Y44" s="92"/>
      <c r="Z44" s="93"/>
      <c r="AA44" s="116"/>
    </row>
    <row r="45" spans="1:27" customFormat="1" ht="45" customHeight="1">
      <c r="A45" s="75"/>
      <c r="B45" s="75"/>
      <c r="C45" s="75"/>
      <c r="D45" s="75"/>
      <c r="E45" s="75"/>
      <c r="F45" s="75"/>
      <c r="G45" s="75"/>
      <c r="H45" s="75"/>
      <c r="I45" s="75"/>
      <c r="J45" s="75"/>
      <c r="K45" s="75"/>
      <c r="L45" s="75"/>
      <c r="M45" s="75"/>
      <c r="N45" s="75"/>
      <c r="O45" s="235"/>
      <c r="P45" s="75"/>
      <c r="Q45" s="75"/>
      <c r="R45" s="75"/>
      <c r="S45" s="75"/>
      <c r="T45" s="75"/>
      <c r="U45" s="75"/>
      <c r="V45" s="75"/>
      <c r="W45" s="75"/>
      <c r="X45" s="75"/>
      <c r="Y45" s="75"/>
      <c r="Z45" s="75"/>
    </row>
    <row r="46" spans="1:27" s="132" customFormat="1" ht="6" customHeight="1">
      <c r="A46" s="93"/>
      <c r="B46" s="92"/>
      <c r="C46" s="92"/>
      <c r="D46" s="92"/>
      <c r="E46" s="92"/>
      <c r="F46" s="92"/>
      <c r="G46" s="92"/>
      <c r="H46" s="92"/>
      <c r="I46" s="67"/>
      <c r="J46" s="67"/>
      <c r="K46" s="67"/>
      <c r="L46" s="67"/>
      <c r="M46" s="67"/>
      <c r="N46" s="67"/>
      <c r="O46" s="75"/>
      <c r="P46" s="92"/>
      <c r="Q46" s="92"/>
      <c r="R46" s="92"/>
      <c r="S46" s="92"/>
      <c r="T46" s="92"/>
      <c r="U46" s="92"/>
      <c r="V46" s="92"/>
      <c r="W46" s="92"/>
      <c r="X46" s="92"/>
      <c r="Y46" s="92"/>
      <c r="Z46" s="93"/>
      <c r="AA46" s="116"/>
    </row>
    <row r="47" spans="1:27">
      <c r="A47" s="92"/>
      <c r="B47" s="92"/>
      <c r="C47" s="92"/>
      <c r="D47" s="92"/>
      <c r="E47" s="92"/>
      <c r="F47" s="92"/>
      <c r="G47" s="92"/>
      <c r="H47" s="92"/>
      <c r="I47" s="92"/>
      <c r="J47" s="92"/>
      <c r="K47" s="92"/>
      <c r="L47" s="92"/>
      <c r="M47" s="92"/>
      <c r="N47" s="92"/>
      <c r="O47" s="92"/>
      <c r="P47" s="92"/>
      <c r="Q47" s="92"/>
      <c r="R47" s="92"/>
      <c r="S47" s="92"/>
      <c r="T47" s="92"/>
      <c r="U47" s="92"/>
      <c r="V47" s="92"/>
      <c r="W47" s="92"/>
      <c r="X47" s="92"/>
      <c r="Y47" s="92"/>
      <c r="Z47" s="92"/>
    </row>
    <row r="48" spans="1:27" ht="18">
      <c r="A48" s="92"/>
      <c r="B48" s="279" t="s">
        <v>139</v>
      </c>
      <c r="C48" s="280"/>
      <c r="D48" s="280"/>
      <c r="E48" s="281"/>
      <c r="F48" s="281"/>
      <c r="G48" s="281"/>
      <c r="H48" s="281"/>
      <c r="I48" s="281"/>
      <c r="J48" s="281"/>
      <c r="K48" s="281"/>
      <c r="L48" s="281"/>
      <c r="M48" s="281"/>
      <c r="N48" s="281"/>
      <c r="O48" s="281"/>
      <c r="P48" s="281"/>
      <c r="Q48" s="280"/>
      <c r="R48" s="281"/>
      <c r="S48" s="281"/>
      <c r="T48" s="281"/>
      <c r="U48" s="281"/>
      <c r="V48" s="281"/>
      <c r="W48" s="281"/>
      <c r="X48" s="281"/>
      <c r="Y48" s="281"/>
      <c r="Z48" s="92"/>
    </row>
    <row r="49" spans="1:26" ht="8.25" customHeight="1">
      <c r="A49" s="92"/>
      <c r="B49" s="92"/>
      <c r="C49" s="92"/>
      <c r="D49" s="92"/>
      <c r="E49" s="92"/>
      <c r="F49" s="92"/>
      <c r="G49" s="92"/>
      <c r="H49" s="92"/>
      <c r="I49" s="92"/>
      <c r="J49" s="92"/>
      <c r="K49" s="92"/>
      <c r="L49" s="92"/>
      <c r="M49" s="92"/>
      <c r="N49" s="92"/>
      <c r="O49" s="92"/>
      <c r="P49" s="92"/>
      <c r="Q49" s="92"/>
      <c r="R49" s="92"/>
      <c r="S49" s="92"/>
      <c r="T49" s="92"/>
      <c r="U49" s="92"/>
      <c r="V49" s="92"/>
      <c r="W49" s="92"/>
      <c r="X49" s="92"/>
      <c r="Y49" s="92"/>
      <c r="Z49" s="92"/>
    </row>
    <row r="50" spans="1:26" ht="30">
      <c r="A50" s="92"/>
      <c r="B50" s="355" t="s">
        <v>190</v>
      </c>
      <c r="C50" s="355"/>
      <c r="D50" s="355"/>
      <c r="E50" s="282"/>
      <c r="F50" s="525" t="s">
        <v>191</v>
      </c>
      <c r="G50" s="525"/>
      <c r="H50" s="525"/>
      <c r="I50" s="525"/>
      <c r="J50" s="525"/>
      <c r="K50" s="525"/>
      <c r="L50" s="92"/>
      <c r="M50" s="283" t="s">
        <v>192</v>
      </c>
      <c r="N50" s="92"/>
      <c r="O50" s="284" t="s">
        <v>44</v>
      </c>
      <c r="P50" s="92"/>
      <c r="Q50" s="526" t="s">
        <v>47</v>
      </c>
      <c r="R50" s="526"/>
      <c r="S50" s="526"/>
      <c r="T50" s="526"/>
      <c r="U50" s="526"/>
      <c r="V50" s="526"/>
      <c r="W50" s="526"/>
      <c r="X50" s="526"/>
      <c r="Y50" s="526"/>
      <c r="Z50" s="92"/>
    </row>
    <row r="51" spans="1:26" ht="15">
      <c r="A51" s="92"/>
      <c r="B51" s="92"/>
      <c r="C51" s="92"/>
      <c r="D51" s="92"/>
      <c r="E51" s="92"/>
      <c r="F51" s="92"/>
      <c r="G51" s="92"/>
      <c r="H51" s="92"/>
      <c r="I51" s="92"/>
      <c r="J51" s="92"/>
      <c r="K51" s="92"/>
      <c r="L51" s="92"/>
      <c r="M51" s="92"/>
      <c r="N51" s="92"/>
      <c r="O51" s="92"/>
      <c r="P51" s="92"/>
      <c r="Q51" s="92"/>
      <c r="R51" s="92"/>
      <c r="S51" s="75"/>
      <c r="T51" s="75"/>
      <c r="U51" s="75"/>
      <c r="V51" s="92"/>
      <c r="W51" s="92"/>
      <c r="X51" s="92"/>
      <c r="Y51" s="92"/>
      <c r="Z51" s="92"/>
    </row>
    <row r="52" spans="1:26" ht="36" customHeight="1">
      <c r="A52" s="92"/>
      <c r="B52" s="457" t="s">
        <v>259</v>
      </c>
      <c r="C52" s="457"/>
      <c r="D52" s="457"/>
      <c r="E52" s="92"/>
      <c r="F52" s="489" t="s">
        <v>260</v>
      </c>
      <c r="G52" s="490"/>
      <c r="H52" s="490"/>
      <c r="I52" s="490"/>
      <c r="J52" s="490"/>
      <c r="K52" s="491"/>
      <c r="L52" s="66"/>
      <c r="M52" s="285">
        <f>IF($I$14="Fixed Income","Not applicable/Not Sovereign Debt Index",IF($I$10=" &lt;&lt;&lt; Select Index &gt;&gt;&gt;","",IF(ISERROR(VLOOKUP($I$10&amp;$I$12,'Database - FI'!$B:$DC,106,FALSE))=TRUE,"†",IF(ISBLANK((VLOOKUP($I$10&amp;$I$12,'Database - FI'!$B:$DC,106,FALSE))),"",VLOOKUP($I$10&amp;$I$12,'Database - FI'!$B:$DC,106,FALSE)))))</f>
        <v>69.971505204084806</v>
      </c>
      <c r="N52" s="67"/>
      <c r="O52" s="286" t="s">
        <v>261</v>
      </c>
      <c r="P52" s="92"/>
      <c r="Q52" s="461" t="str">
        <f>IF(W19="MSCI",REF!BV5,REF!BV4)</f>
        <v>The ‘Weighted-Average Corruption Score’ is an index weighted average of the Sustainalytics 'Corruption Score' of index constituents. Scores range between 0 (worst) and 100 (best).</v>
      </c>
      <c r="R52" s="462"/>
      <c r="S52" s="462"/>
      <c r="T52" s="462"/>
      <c r="U52" s="462"/>
      <c r="V52" s="462"/>
      <c r="W52" s="462"/>
      <c r="X52" s="462"/>
      <c r="Y52" s="463"/>
      <c r="Z52" s="92"/>
    </row>
    <row r="53" spans="1:26" ht="6" customHeight="1">
      <c r="A53" s="92"/>
      <c r="B53" s="92"/>
      <c r="C53" s="92"/>
      <c r="D53" s="92"/>
      <c r="E53" s="92"/>
      <c r="F53" s="92"/>
      <c r="G53" s="92"/>
      <c r="H53" s="92"/>
      <c r="I53" s="92"/>
      <c r="J53" s="92"/>
      <c r="K53" s="92"/>
      <c r="L53" s="92"/>
      <c r="M53" s="92"/>
      <c r="N53" s="92"/>
      <c r="O53" s="235"/>
      <c r="P53" s="92"/>
      <c r="Q53" s="92"/>
      <c r="R53" s="92"/>
      <c r="S53" s="92"/>
      <c r="T53" s="92"/>
      <c r="U53" s="92"/>
      <c r="V53" s="92"/>
      <c r="W53" s="92"/>
      <c r="X53" s="92"/>
      <c r="Y53" s="92"/>
      <c r="Z53" s="92"/>
    </row>
    <row r="54" spans="1:26" ht="15">
      <c r="A54" s="92"/>
      <c r="B54" s="92"/>
      <c r="C54" s="92"/>
      <c r="D54" s="92"/>
      <c r="E54" s="92"/>
      <c r="F54" s="92"/>
      <c r="G54" s="92"/>
      <c r="H54" s="92"/>
      <c r="I54" s="455" t="s">
        <v>194</v>
      </c>
      <c r="J54" s="455"/>
      <c r="K54" s="455"/>
      <c r="L54" s="92"/>
      <c r="M54" s="236">
        <f>IF($I$14="Fixed Income","",IF($I$10=" &lt;&lt;&lt; Select Index &gt;&gt;&gt;","",IF(ISERROR(VLOOKUP($I$10&amp;$I$12,'Database - FI'!$B:$DE,108,FALSE))=TRUE,"†",IF(ISBLANK((VLOOKUP($I$10&amp;$I$12,'Database - FI'!$B:$DE,108,FALSE))),"",VLOOKUP($I$10&amp;$I$12,'Database - FI'!$B:$DE,108,FALSE)))))</f>
        <v>1</v>
      </c>
      <c r="N54" s="92"/>
      <c r="O54" s="235"/>
      <c r="P54" s="92"/>
      <c r="Q54" s="92"/>
      <c r="R54" s="92"/>
      <c r="S54" s="92"/>
      <c r="T54" s="92"/>
      <c r="U54" s="92"/>
      <c r="V54" s="92"/>
      <c r="W54" s="92"/>
      <c r="X54" s="92"/>
      <c r="Y54" s="92"/>
      <c r="Z54" s="92"/>
    </row>
    <row r="55" spans="1:26" ht="15">
      <c r="A55" s="92"/>
      <c r="B55" s="92"/>
      <c r="C55" s="92"/>
      <c r="D55" s="92"/>
      <c r="E55" s="92"/>
      <c r="F55" s="92"/>
      <c r="G55" s="92"/>
      <c r="H55" s="92"/>
      <c r="I55" s="455" t="s">
        <v>195</v>
      </c>
      <c r="J55" s="455"/>
      <c r="K55" s="455"/>
      <c r="L55" s="92"/>
      <c r="M55" s="237">
        <f>IF($I$14="Fixed Income","",IF($I$10=" &lt;&lt;&lt; Select Index &gt;&gt;&gt;","",IF(ISERROR(VLOOKUP($I$10&amp;$I$12,'Database - FI'!$B:$DE,107,FALSE))=TRUE,"†",IF(ISBLANK((VLOOKUP($I$10&amp;$I$12,'Database - FI'!$B:$DE,107,FALSE))),"",VLOOKUP($I$10&amp;$I$12,'Database - FI'!$B:$DE,107,FALSE)))))</f>
        <v>0.99866101368262505</v>
      </c>
      <c r="N55" s="92"/>
      <c r="O55" s="235"/>
      <c r="P55" s="92"/>
      <c r="Q55" s="92"/>
      <c r="R55" s="92"/>
      <c r="S55" s="92"/>
      <c r="T55" s="92"/>
      <c r="U55" s="92"/>
      <c r="V55" s="92"/>
      <c r="W55" s="92"/>
      <c r="X55" s="92"/>
      <c r="Y55" s="92"/>
      <c r="Z55" s="92"/>
    </row>
    <row r="56" spans="1:26" ht="18" customHeight="1">
      <c r="A56" s="92"/>
      <c r="B56" s="92"/>
      <c r="C56" s="92"/>
      <c r="D56" s="92"/>
      <c r="E56" s="92"/>
      <c r="F56" s="92"/>
      <c r="G56" s="92"/>
      <c r="H56" s="92"/>
      <c r="I56" s="92"/>
      <c r="J56" s="92"/>
      <c r="K56" s="92"/>
      <c r="L56" s="92"/>
      <c r="M56" s="92"/>
      <c r="N56" s="92"/>
      <c r="O56" s="238"/>
      <c r="P56" s="92"/>
      <c r="Q56" s="92"/>
      <c r="R56" s="92"/>
      <c r="S56" s="92"/>
      <c r="T56" s="92"/>
      <c r="U56" s="92"/>
      <c r="V56" s="92"/>
      <c r="W56" s="92"/>
      <c r="X56" s="92"/>
      <c r="Y56" s="92"/>
      <c r="Z56" s="92"/>
    </row>
    <row r="57" spans="1:26" ht="36" customHeight="1">
      <c r="A57" s="92"/>
      <c r="B57" s="457" t="s">
        <v>259</v>
      </c>
      <c r="C57" s="457"/>
      <c r="D57" s="457"/>
      <c r="E57" s="92"/>
      <c r="F57" s="489" t="s">
        <v>262</v>
      </c>
      <c r="G57" s="490"/>
      <c r="H57" s="490"/>
      <c r="I57" s="490"/>
      <c r="J57" s="490"/>
      <c r="K57" s="491"/>
      <c r="L57" s="66"/>
      <c r="M57" s="285">
        <f>IF($I$14="Fixed Income","Not applicable/Not Sovereign Debt Index",IF($I$10=" &lt;&lt;&lt; Select Index &gt;&gt;&gt;","",IF(ISERROR(VLOOKUP($I$10&amp;$I$12,'Database - FI'!$B:$DC,36,FALSE))=TRUE,"†",IF(ISBLANK((VLOOKUP($I$10&amp;$I$12,'Database - FI'!$B:$DC,36,FALSE))),"",VLOOKUP($I$10&amp;$I$12,'Database - FI'!$B:$DC,36,FALSE)))))</f>
        <v>61.613527072281499</v>
      </c>
      <c r="N57" s="67"/>
      <c r="O57" s="286" t="s">
        <v>263</v>
      </c>
      <c r="P57" s="92"/>
      <c r="Q57" s="461" t="str">
        <f>IF(W19="MSCI",REF!BW5,REF!BW4)</f>
        <v>The ‘Weighted-Average Political Stability Score’ is an index weighted average of the Sustainalytics 'Political Stability Score' of index constituents. Scores range between 0 (worst) and 100 (best).</v>
      </c>
      <c r="R57" s="462"/>
      <c r="S57" s="462"/>
      <c r="T57" s="462"/>
      <c r="U57" s="462"/>
      <c r="V57" s="462"/>
      <c r="W57" s="462"/>
      <c r="X57" s="462"/>
      <c r="Y57" s="463"/>
      <c r="Z57" s="92"/>
    </row>
    <row r="58" spans="1:26" ht="6" customHeight="1">
      <c r="A58" s="92"/>
      <c r="B58" s="92"/>
      <c r="C58" s="92"/>
      <c r="D58" s="92"/>
      <c r="E58" s="92"/>
      <c r="F58" s="92"/>
      <c r="G58" s="92"/>
      <c r="H58" s="92"/>
      <c r="I58" s="92"/>
      <c r="J58" s="92"/>
      <c r="K58" s="92"/>
      <c r="L58" s="92"/>
      <c r="M58" s="92"/>
      <c r="N58" s="92"/>
      <c r="O58" s="235"/>
      <c r="P58" s="92"/>
      <c r="Q58" s="92"/>
      <c r="R58" s="92"/>
      <c r="S58" s="92"/>
      <c r="T58" s="92"/>
      <c r="U58" s="92"/>
      <c r="V58" s="92"/>
      <c r="W58" s="92"/>
      <c r="X58" s="92"/>
      <c r="Y58" s="92"/>
      <c r="Z58" s="92"/>
    </row>
    <row r="59" spans="1:26" ht="15">
      <c r="A59" s="92"/>
      <c r="B59" s="92"/>
      <c r="C59" s="92"/>
      <c r="D59" s="92"/>
      <c r="E59" s="92"/>
      <c r="F59" s="92"/>
      <c r="G59" s="92"/>
      <c r="H59" s="92"/>
      <c r="I59" s="455" t="s">
        <v>194</v>
      </c>
      <c r="J59" s="455"/>
      <c r="K59" s="455"/>
      <c r="L59" s="92"/>
      <c r="M59" s="236">
        <f>IF($I$14="Fixed Income","",IF($I$10=" &lt;&lt;&lt; Select Index &gt;&gt;&gt;","",IF(ISERROR(VLOOKUP($I$10&amp;$I$12,'Database - FI'!$B:$DC,38,FALSE))=TRUE,"†",IF(ISBLANK((VLOOKUP($I$10&amp;$I$12,'Database - FI'!$B:$DC,38,FALSE))),"",VLOOKUP($I$10&amp;$I$12,'Database - FI'!$B:$DC,38,FALSE)))))</f>
        <v>1</v>
      </c>
      <c r="N59" s="92"/>
      <c r="O59" s="235"/>
      <c r="P59" s="92"/>
      <c r="Q59" s="92"/>
      <c r="R59" s="92"/>
      <c r="S59" s="92"/>
      <c r="T59" s="92"/>
      <c r="U59" s="92"/>
      <c r="V59" s="92"/>
      <c r="W59" s="92"/>
      <c r="X59" s="92"/>
      <c r="Y59" s="92"/>
      <c r="Z59" s="92"/>
    </row>
    <row r="60" spans="1:26" ht="15">
      <c r="A60" s="92"/>
      <c r="B60" s="92"/>
      <c r="C60" s="92"/>
      <c r="D60" s="92"/>
      <c r="E60" s="92"/>
      <c r="F60" s="92"/>
      <c r="G60" s="92"/>
      <c r="H60" s="92"/>
      <c r="I60" s="455" t="s">
        <v>195</v>
      </c>
      <c r="J60" s="455"/>
      <c r="K60" s="455"/>
      <c r="L60" s="92"/>
      <c r="M60" s="237">
        <f>IF($I$14="Fixed Income","",IF($I$10=" &lt;&lt;&lt; Select Index &gt;&gt;&gt;","",IF(ISERROR(VLOOKUP($I$10&amp;$I$12,'Database - FI'!$B:$DC,37,FALSE))=TRUE,"†",IF(ISBLANK((VLOOKUP($I$10&amp;$I$12,'Database - FI'!$B:$DC,37,FALSE))),"",VLOOKUP($I$10&amp;$I$12,'Database - FI'!$B:$DC,37,FALSE)))))</f>
        <v>0.99866101368262505</v>
      </c>
      <c r="N60" s="92"/>
      <c r="O60" s="235"/>
      <c r="P60" s="92"/>
      <c r="Q60" s="92"/>
      <c r="R60" s="92"/>
      <c r="S60" s="92"/>
      <c r="T60" s="92"/>
      <c r="U60" s="92"/>
      <c r="V60" s="92"/>
      <c r="W60" s="92"/>
      <c r="X60" s="92"/>
      <c r="Y60" s="92"/>
      <c r="Z60" s="92"/>
    </row>
    <row r="61" spans="1:26" ht="18" customHeight="1">
      <c r="A61" s="92"/>
      <c r="B61" s="92"/>
      <c r="C61" s="92"/>
      <c r="D61" s="92"/>
      <c r="E61" s="92"/>
      <c r="F61" s="92"/>
      <c r="G61" s="92"/>
      <c r="H61" s="92"/>
      <c r="I61" s="92"/>
      <c r="J61" s="92"/>
      <c r="K61" s="92"/>
      <c r="L61" s="92"/>
      <c r="M61" s="92"/>
      <c r="N61" s="92"/>
      <c r="O61" s="238"/>
      <c r="P61" s="92"/>
      <c r="Q61" s="92"/>
      <c r="R61" s="92"/>
      <c r="S61" s="92"/>
      <c r="T61" s="92"/>
      <c r="U61" s="92"/>
      <c r="V61" s="92"/>
      <c r="W61" s="92"/>
      <c r="X61" s="92"/>
      <c r="Y61" s="92"/>
      <c r="Z61" s="92"/>
    </row>
    <row r="62" spans="1:26" ht="36" customHeight="1">
      <c r="A62" s="92"/>
      <c r="B62" s="457" t="s">
        <v>259</v>
      </c>
      <c r="C62" s="457"/>
      <c r="D62" s="457"/>
      <c r="E62" s="92"/>
      <c r="F62" s="489" t="s">
        <v>264</v>
      </c>
      <c r="G62" s="490"/>
      <c r="H62" s="490"/>
      <c r="I62" s="490"/>
      <c r="J62" s="490"/>
      <c r="K62" s="491"/>
      <c r="L62" s="66"/>
      <c r="M62" s="285">
        <f>IF($I$14="Fixed Income","Not applicable/Not Sovereign Debt Index",IF($I$10=" &lt;&lt;&lt; Select Index &gt;&gt;&gt;","",IF(ISERROR(VLOOKUP($I$10&amp;$I$12,'Database - FI'!$B:$DC,39,FALSE))=TRUE,"†",IF(ISBLANK((VLOOKUP($I$10&amp;$I$12,'Database - FI'!$B:$DC,39,FALSE))),"",VLOOKUP($I$10&amp;$I$12,'Database - FI'!$B:$DC,39,FALSE)))))</f>
        <v>70.839414302669198</v>
      </c>
      <c r="N62" s="67"/>
      <c r="O62" s="286" t="s">
        <v>265</v>
      </c>
      <c r="P62" s="92"/>
      <c r="Q62" s="461" t="str">
        <f>IF(W19="MSCI",REF!BX5,REF!BX4)</f>
        <v>The ‘Weighted-Average Rule of Law Score’ is an index weighted average of the Sustainalytics 'Rule of Law Score' of index constituents. Scores range between 0 (worst) and 100 (best).</v>
      </c>
      <c r="R62" s="462"/>
      <c r="S62" s="462"/>
      <c r="T62" s="462"/>
      <c r="U62" s="462"/>
      <c r="V62" s="462"/>
      <c r="W62" s="462"/>
      <c r="X62" s="462"/>
      <c r="Y62" s="463"/>
      <c r="Z62" s="92"/>
    </row>
    <row r="63" spans="1:26" ht="6" customHeight="1">
      <c r="A63" s="92"/>
      <c r="B63" s="92"/>
      <c r="C63" s="92"/>
      <c r="D63" s="92"/>
      <c r="E63" s="92"/>
      <c r="F63" s="92"/>
      <c r="G63" s="92"/>
      <c r="H63" s="92"/>
      <c r="I63" s="92"/>
      <c r="J63" s="92"/>
      <c r="K63" s="92"/>
      <c r="L63" s="92"/>
      <c r="M63" s="92"/>
      <c r="N63" s="92"/>
      <c r="O63" s="75"/>
      <c r="P63" s="92"/>
      <c r="Q63" s="92"/>
      <c r="R63" s="92"/>
      <c r="S63" s="92"/>
      <c r="T63" s="92"/>
      <c r="U63" s="92"/>
      <c r="V63" s="92"/>
      <c r="W63" s="92"/>
      <c r="X63" s="92"/>
      <c r="Y63" s="92"/>
      <c r="Z63" s="92"/>
    </row>
    <row r="64" spans="1:26" ht="15">
      <c r="A64" s="92"/>
      <c r="B64" s="92"/>
      <c r="C64" s="92"/>
      <c r="D64" s="92"/>
      <c r="E64" s="92"/>
      <c r="F64" s="92"/>
      <c r="G64" s="92"/>
      <c r="H64" s="92"/>
      <c r="I64" s="455" t="s">
        <v>194</v>
      </c>
      <c r="J64" s="455"/>
      <c r="K64" s="455"/>
      <c r="L64" s="92"/>
      <c r="M64" s="236">
        <f>IF($I$14="Fixed Income","",IF($I$10=" &lt;&lt;&lt; Select Index &gt;&gt;&gt;","",IF(ISERROR(VLOOKUP($I$10&amp;$I$12,'Database - FI'!$B:$DC,41,FALSE))=TRUE,"†",IF(ISBLANK((VLOOKUP($I$10&amp;$I$12,'Database - FI'!$B:$DC,41,FALSE))),"",VLOOKUP($I$10&amp;$I$12,'Database - FI'!$B:$DC,41,FALSE)))))</f>
        <v>1</v>
      </c>
      <c r="N64" s="92"/>
      <c r="O64" s="75"/>
      <c r="P64" s="92"/>
      <c r="Q64" s="92"/>
      <c r="R64" s="92"/>
      <c r="S64" s="92"/>
      <c r="T64" s="92"/>
      <c r="U64" s="92"/>
      <c r="V64" s="92"/>
      <c r="W64" s="92"/>
      <c r="X64" s="92"/>
      <c r="Y64" s="92"/>
      <c r="Z64" s="92"/>
    </row>
    <row r="65" spans="1:27" ht="15">
      <c r="A65" s="92"/>
      <c r="B65" s="92"/>
      <c r="C65" s="92"/>
      <c r="D65" s="92"/>
      <c r="E65" s="92"/>
      <c r="F65" s="92"/>
      <c r="G65" s="92"/>
      <c r="H65" s="92"/>
      <c r="I65" s="455" t="s">
        <v>195</v>
      </c>
      <c r="J65" s="455"/>
      <c r="K65" s="455"/>
      <c r="L65" s="92"/>
      <c r="M65" s="237">
        <f>IF($I$14="Fixed Income","",IF($I$10=" &lt;&lt;&lt; Select Index &gt;&gt;&gt;","",IF(ISERROR(VLOOKUP($I$10&amp;$I$12,'Database - FI'!$B:$DC,40,FALSE))=TRUE,"†",IF(ISBLANK((VLOOKUP($I$10&amp;$I$12,'Database - FI'!$B:$DC,40,FALSE))),"",VLOOKUP($I$10&amp;$I$12,'Database - FI'!$B:$DC,40,FALSE)))))</f>
        <v>0.99866101368262505</v>
      </c>
      <c r="N65" s="92"/>
      <c r="O65" s="75"/>
      <c r="P65" s="92"/>
      <c r="Q65" s="92"/>
      <c r="R65" s="92"/>
      <c r="S65" s="92"/>
      <c r="T65" s="92"/>
      <c r="U65" s="92"/>
      <c r="V65" s="92"/>
      <c r="W65" s="92"/>
      <c r="X65" s="92"/>
      <c r="Y65" s="92"/>
      <c r="Z65" s="92"/>
    </row>
    <row r="66" spans="1:27" ht="18" customHeight="1">
      <c r="A66" s="92"/>
      <c r="B66" s="92"/>
      <c r="C66" s="92"/>
      <c r="D66" s="92"/>
      <c r="E66" s="92"/>
      <c r="F66" s="92"/>
      <c r="G66" s="92"/>
      <c r="H66" s="92"/>
      <c r="I66" s="92"/>
      <c r="J66" s="92"/>
      <c r="K66" s="92"/>
      <c r="L66" s="92"/>
      <c r="M66" s="92"/>
      <c r="N66" s="92"/>
      <c r="O66" s="92"/>
      <c r="P66" s="92"/>
      <c r="Q66" s="92"/>
      <c r="R66" s="92"/>
      <c r="S66" s="92"/>
      <c r="T66" s="92"/>
      <c r="U66" s="92"/>
      <c r="V66" s="92"/>
      <c r="W66" s="92"/>
      <c r="X66" s="92"/>
      <c r="Y66" s="92"/>
      <c r="Z66" s="92"/>
    </row>
    <row r="67" spans="1:27">
      <c r="A67" s="92"/>
      <c r="B67" s="92"/>
      <c r="C67" s="92"/>
      <c r="D67" s="92"/>
      <c r="E67" s="92"/>
      <c r="F67" s="92"/>
      <c r="G67" s="92"/>
      <c r="H67" s="92"/>
      <c r="I67" s="92"/>
      <c r="J67" s="92"/>
      <c r="K67" s="92"/>
      <c r="L67" s="92"/>
      <c r="M67" s="92"/>
      <c r="N67" s="92"/>
      <c r="O67" s="92"/>
      <c r="P67" s="92"/>
      <c r="Q67" s="92"/>
      <c r="R67" s="92"/>
      <c r="S67" s="92"/>
      <c r="T67" s="92"/>
      <c r="U67" s="92"/>
      <c r="V67" s="92"/>
      <c r="W67" s="92"/>
      <c r="X67" s="92"/>
      <c r="Y67" s="92"/>
      <c r="Z67" s="92"/>
    </row>
    <row r="68" spans="1:27">
      <c r="A68" s="92"/>
      <c r="B68" s="92"/>
      <c r="C68" s="92"/>
      <c r="D68" s="92"/>
      <c r="E68" s="92"/>
      <c r="F68" s="92"/>
      <c r="G68" s="92"/>
      <c r="H68" s="92"/>
      <c r="I68" s="92"/>
      <c r="J68" s="92"/>
      <c r="K68" s="92"/>
      <c r="L68" s="92"/>
      <c r="M68" s="92"/>
      <c r="N68" s="92"/>
      <c r="O68" s="92"/>
      <c r="P68" s="92"/>
      <c r="Q68" s="92"/>
      <c r="R68" s="92"/>
      <c r="S68" s="92"/>
      <c r="T68" s="92"/>
      <c r="U68" s="92"/>
      <c r="V68" s="92"/>
      <c r="W68" s="92"/>
      <c r="X68" s="92"/>
      <c r="Y68" s="92"/>
      <c r="Z68" s="92"/>
    </row>
    <row r="69" spans="1:27">
      <c r="A69" s="92"/>
      <c r="B69" s="92"/>
      <c r="C69" s="92"/>
      <c r="D69" s="92"/>
      <c r="E69" s="92"/>
      <c r="F69" s="92"/>
      <c r="G69" s="92"/>
      <c r="H69" s="92"/>
      <c r="I69" s="92"/>
      <c r="J69" s="92"/>
      <c r="K69" s="92"/>
      <c r="L69" s="92"/>
      <c r="M69" s="92"/>
      <c r="N69" s="92"/>
      <c r="O69" s="92"/>
      <c r="P69" s="92"/>
      <c r="Q69" s="92"/>
      <c r="R69" s="92"/>
      <c r="S69" s="92"/>
      <c r="T69" s="92"/>
      <c r="U69" s="92"/>
      <c r="V69" s="92"/>
      <c r="W69" s="92"/>
      <c r="X69" s="92"/>
      <c r="Y69" s="92"/>
      <c r="Z69" s="92"/>
    </row>
    <row r="70" spans="1:27">
      <c r="A70" s="92"/>
      <c r="B70" s="92"/>
      <c r="C70" s="92"/>
      <c r="D70" s="92"/>
      <c r="E70" s="92"/>
      <c r="F70" s="92"/>
      <c r="G70" s="92"/>
      <c r="H70" s="92"/>
      <c r="I70" s="92"/>
      <c r="J70" s="92"/>
      <c r="K70" s="92"/>
      <c r="L70" s="92"/>
      <c r="M70" s="92"/>
      <c r="N70" s="92"/>
      <c r="O70" s="92"/>
      <c r="P70" s="92"/>
      <c r="Q70" s="92"/>
      <c r="R70" s="92"/>
      <c r="S70" s="92"/>
      <c r="T70" s="92"/>
      <c r="U70" s="92"/>
      <c r="V70" s="92"/>
      <c r="W70" s="92"/>
      <c r="X70" s="92"/>
      <c r="Y70" s="92"/>
      <c r="Z70" s="92"/>
    </row>
    <row r="71" spans="1:27">
      <c r="A71" s="92"/>
      <c r="B71" s="92"/>
      <c r="C71" s="92"/>
      <c r="D71" s="92"/>
      <c r="E71" s="92"/>
      <c r="F71" s="92"/>
      <c r="G71" s="92"/>
      <c r="H71" s="92"/>
      <c r="I71" s="92"/>
      <c r="J71" s="92"/>
      <c r="K71" s="92"/>
      <c r="L71" s="92"/>
      <c r="M71" s="92"/>
      <c r="N71" s="92"/>
      <c r="O71" s="92"/>
      <c r="P71" s="92"/>
      <c r="Q71" s="92"/>
      <c r="R71" s="92"/>
      <c r="S71" s="92"/>
      <c r="T71" s="92"/>
      <c r="U71" s="92"/>
      <c r="V71" s="92"/>
      <c r="W71" s="92"/>
      <c r="X71" s="92"/>
      <c r="Y71" s="92"/>
      <c r="Z71" s="92"/>
    </row>
    <row r="72" spans="1:27">
      <c r="A72" s="92"/>
      <c r="B72" s="92"/>
      <c r="C72" s="92"/>
      <c r="D72" s="92"/>
      <c r="E72" s="92"/>
      <c r="F72" s="92"/>
      <c r="G72" s="92"/>
      <c r="H72" s="92"/>
      <c r="I72" s="92"/>
      <c r="J72" s="92"/>
      <c r="K72" s="92"/>
      <c r="L72" s="92"/>
      <c r="M72" s="92"/>
      <c r="N72" s="92"/>
      <c r="O72" s="92"/>
      <c r="P72" s="92"/>
      <c r="Q72" s="92"/>
      <c r="R72" s="92"/>
      <c r="S72" s="92"/>
      <c r="T72" s="92"/>
      <c r="U72" s="92"/>
      <c r="V72" s="92"/>
      <c r="W72" s="92"/>
      <c r="X72" s="92"/>
      <c r="Y72" s="92"/>
      <c r="Z72" s="92"/>
    </row>
    <row r="73" spans="1:27">
      <c r="A73" s="92"/>
      <c r="B73" s="92"/>
      <c r="C73" s="92"/>
      <c r="D73" s="92"/>
      <c r="E73" s="92"/>
      <c r="F73" s="92"/>
      <c r="G73" s="92"/>
      <c r="H73" s="92"/>
      <c r="I73" s="92"/>
      <c r="J73" s="92"/>
      <c r="K73" s="92"/>
      <c r="L73" s="92"/>
      <c r="M73" s="92"/>
      <c r="N73" s="92"/>
      <c r="O73" s="92"/>
      <c r="P73" s="92"/>
      <c r="Q73" s="92"/>
      <c r="R73" s="92"/>
      <c r="S73" s="92"/>
      <c r="T73" s="92"/>
      <c r="U73" s="92"/>
      <c r="V73" s="92"/>
      <c r="W73" s="92"/>
      <c r="X73" s="92"/>
      <c r="Y73" s="92"/>
      <c r="Z73" s="92"/>
    </row>
    <row r="74" spans="1:27">
      <c r="A74" s="92"/>
      <c r="B74" s="92"/>
      <c r="C74" s="92"/>
      <c r="D74" s="92"/>
      <c r="E74" s="92"/>
      <c r="F74" s="92"/>
      <c r="G74" s="92"/>
      <c r="H74" s="92"/>
      <c r="I74" s="92"/>
      <c r="J74" s="92"/>
      <c r="K74" s="92"/>
      <c r="L74" s="92"/>
      <c r="M74" s="92"/>
      <c r="N74" s="92"/>
      <c r="O74" s="92"/>
      <c r="P74" s="92"/>
      <c r="Q74" s="92"/>
      <c r="R74" s="92"/>
      <c r="S74" s="92"/>
      <c r="T74" s="92"/>
      <c r="U74" s="92"/>
      <c r="V74" s="92"/>
      <c r="W74" s="92"/>
      <c r="X74" s="92"/>
      <c r="Y74" s="92"/>
      <c r="Z74" s="92"/>
    </row>
    <row r="75" spans="1:27">
      <c r="A75" s="92"/>
      <c r="B75" s="92"/>
      <c r="C75" s="92"/>
      <c r="D75" s="92"/>
      <c r="E75" s="92"/>
      <c r="F75" s="92"/>
      <c r="G75" s="92"/>
      <c r="H75" s="92"/>
      <c r="I75" s="92"/>
      <c r="J75" s="92"/>
      <c r="K75" s="92"/>
      <c r="L75" s="92"/>
      <c r="M75" s="92"/>
      <c r="N75" s="92"/>
      <c r="O75" s="92"/>
      <c r="P75" s="92"/>
      <c r="Q75" s="92"/>
      <c r="R75" s="92"/>
      <c r="S75" s="92"/>
      <c r="T75" s="92"/>
      <c r="U75" s="92"/>
      <c r="V75" s="92"/>
      <c r="W75" s="92"/>
      <c r="X75" s="92"/>
      <c r="Y75" s="92"/>
      <c r="Z75" s="92"/>
    </row>
    <row r="76" spans="1:27">
      <c r="A76" s="92"/>
      <c r="B76" s="524" t="s">
        <v>266</v>
      </c>
      <c r="C76" s="456"/>
      <c r="D76" s="456"/>
      <c r="E76" s="456"/>
      <c r="F76" s="456"/>
      <c r="G76" s="456"/>
      <c r="H76" s="456"/>
      <c r="I76" s="456"/>
      <c r="J76" s="456"/>
      <c r="K76" s="456"/>
      <c r="L76" s="456"/>
      <c r="M76" s="456"/>
      <c r="N76" s="456"/>
      <c r="O76" s="456"/>
      <c r="P76" s="456"/>
      <c r="Q76" s="456"/>
      <c r="R76" s="456"/>
      <c r="S76" s="456"/>
      <c r="T76" s="456"/>
      <c r="U76" s="456"/>
      <c r="V76" s="456"/>
      <c r="W76" s="456"/>
      <c r="X76" s="456"/>
      <c r="Y76" s="456"/>
      <c r="Z76" s="92"/>
      <c r="AA76" s="116" t="s">
        <v>267</v>
      </c>
    </row>
    <row r="77" spans="1:27">
      <c r="A77" s="92"/>
      <c r="B77" s="33" t="s">
        <v>222</v>
      </c>
      <c r="C77" s="1"/>
      <c r="D77" s="1"/>
      <c r="E77" s="1"/>
      <c r="F77" s="1"/>
      <c r="G77" s="1"/>
      <c r="H77" s="1"/>
      <c r="I77" s="1"/>
      <c r="J77" s="1"/>
      <c r="K77" s="1"/>
      <c r="L77" s="1"/>
      <c r="M77" s="1"/>
      <c r="N77" s="1"/>
      <c r="O77" s="1"/>
      <c r="P77" s="1"/>
      <c r="Q77" s="1"/>
      <c r="R77" s="1"/>
      <c r="S77" s="1"/>
      <c r="T77" s="1"/>
      <c r="U77" s="1"/>
      <c r="V77" s="1"/>
      <c r="W77" s="1"/>
      <c r="X77" s="1"/>
      <c r="Y77" s="1"/>
      <c r="Z77" s="92"/>
    </row>
    <row r="78" spans="1:27">
      <c r="A78" s="92"/>
      <c r="B78" s="33"/>
      <c r="C78" s="1"/>
      <c r="D78" s="1"/>
      <c r="E78" s="1"/>
      <c r="F78" s="1"/>
      <c r="G78" s="1"/>
      <c r="H78" s="1"/>
      <c r="I78" s="1"/>
      <c r="J78" s="1"/>
      <c r="K78" s="1"/>
      <c r="L78" s="1"/>
      <c r="M78" s="1"/>
      <c r="N78" s="1"/>
      <c r="O78" s="1"/>
      <c r="P78" s="1"/>
      <c r="Q78" s="1"/>
      <c r="R78" s="1"/>
      <c r="S78" s="1"/>
      <c r="T78" s="1"/>
      <c r="U78" s="1"/>
      <c r="V78" s="1"/>
      <c r="W78" s="1"/>
      <c r="X78" s="1"/>
      <c r="Y78" s="1"/>
      <c r="Z78" s="92"/>
    </row>
    <row r="79" spans="1:27">
      <c r="A79" s="92"/>
      <c r="B79" s="33"/>
      <c r="C79" s="1"/>
      <c r="D79" s="1"/>
      <c r="E79" s="1"/>
      <c r="F79" s="1"/>
      <c r="G79" s="1"/>
      <c r="H79" s="1"/>
      <c r="I79" s="1"/>
      <c r="J79" s="1"/>
      <c r="K79" s="1"/>
      <c r="L79" s="1"/>
      <c r="M79" s="1"/>
      <c r="N79" s="1"/>
      <c r="O79" s="1"/>
      <c r="P79" s="1"/>
      <c r="Q79" s="1"/>
      <c r="R79" s="1"/>
      <c r="S79" s="1"/>
      <c r="T79" s="1"/>
      <c r="U79" s="1"/>
      <c r="V79" s="1"/>
      <c r="W79" s="1"/>
      <c r="X79" s="1"/>
      <c r="Y79" s="1"/>
      <c r="Z79" s="92"/>
    </row>
    <row r="84" spans="27:27">
      <c r="AA84" s="116" t="s">
        <v>268</v>
      </c>
    </row>
  </sheetData>
  <sheetProtection algorithmName="SHA-512" hashValue="UbHieWklWNYoI6eeltd4Wm4mhTUmiZRLhNy9nMdrrTJJXowIgaxhvgKG22+B6KoUARjukRu6HFpZcTI6lyR9Tg==" saltValue="SWrutOVni9oqtjrkFOSJoQ==" spinCount="100000" sheet="1" objects="1" scenarios="1"/>
  <mergeCells count="56">
    <mergeCell ref="F12:G12"/>
    <mergeCell ref="B7:Y7"/>
    <mergeCell ref="B8:G8"/>
    <mergeCell ref="I8:O8"/>
    <mergeCell ref="B10:G10"/>
    <mergeCell ref="I10:O10"/>
    <mergeCell ref="F14:G14"/>
    <mergeCell ref="I14:K14"/>
    <mergeCell ref="F16:G16"/>
    <mergeCell ref="C18:G18"/>
    <mergeCell ref="C19:G19"/>
    <mergeCell ref="Q31:Y31"/>
    <mergeCell ref="I33:K33"/>
    <mergeCell ref="W19:Y19"/>
    <mergeCell ref="B23:D23"/>
    <mergeCell ref="F23:K23"/>
    <mergeCell ref="Q23:Y23"/>
    <mergeCell ref="B25:D26"/>
    <mergeCell ref="F25:K26"/>
    <mergeCell ref="Q25:Y25"/>
    <mergeCell ref="Q26:Y26"/>
    <mergeCell ref="S19:U19"/>
    <mergeCell ref="I39:K39"/>
    <mergeCell ref="I28:K28"/>
    <mergeCell ref="I29:K29"/>
    <mergeCell ref="B31:D31"/>
    <mergeCell ref="F31:K31"/>
    <mergeCell ref="I34:K34"/>
    <mergeCell ref="B36:D36"/>
    <mergeCell ref="F36:K36"/>
    <mergeCell ref="Q36:Y36"/>
    <mergeCell ref="I38:K38"/>
    <mergeCell ref="B57:D57"/>
    <mergeCell ref="F57:K57"/>
    <mergeCell ref="Q57:Y57"/>
    <mergeCell ref="B41:D41"/>
    <mergeCell ref="F41:K41"/>
    <mergeCell ref="Q41:Y41"/>
    <mergeCell ref="I43:K43"/>
    <mergeCell ref="I44:K44"/>
    <mergeCell ref="B50:D50"/>
    <mergeCell ref="F50:K50"/>
    <mergeCell ref="Q50:Y50"/>
    <mergeCell ref="B52:D52"/>
    <mergeCell ref="F52:K52"/>
    <mergeCell ref="Q52:Y52"/>
    <mergeCell ref="I54:K54"/>
    <mergeCell ref="I55:K55"/>
    <mergeCell ref="I65:K65"/>
    <mergeCell ref="B76:Y76"/>
    <mergeCell ref="I59:K59"/>
    <mergeCell ref="I60:K60"/>
    <mergeCell ref="B62:D62"/>
    <mergeCell ref="F62:K62"/>
    <mergeCell ref="Q62:Y62"/>
    <mergeCell ref="I64:K64"/>
  </mergeCells>
  <conditionalFormatting sqref="B25">
    <cfRule type="cellIs" dxfId="19" priority="6" operator="equal">
      <formula>"***"</formula>
    </cfRule>
  </conditionalFormatting>
  <conditionalFormatting sqref="B31">
    <cfRule type="cellIs" dxfId="18" priority="3" operator="equal">
      <formula>"***"</formula>
    </cfRule>
  </conditionalFormatting>
  <conditionalFormatting sqref="B36">
    <cfRule type="cellIs" dxfId="17" priority="19" operator="equal">
      <formula>"***"</formula>
    </cfRule>
  </conditionalFormatting>
  <conditionalFormatting sqref="B41">
    <cfRule type="cellIs" dxfId="16" priority="18" operator="equal">
      <formula>"***"</formula>
    </cfRule>
  </conditionalFormatting>
  <conditionalFormatting sqref="B52">
    <cfRule type="cellIs" dxfId="15" priority="15" operator="equal">
      <formula>"***"</formula>
    </cfRule>
  </conditionalFormatting>
  <conditionalFormatting sqref="B57">
    <cfRule type="cellIs" dxfId="14" priority="12" operator="equal">
      <formula>"***"</formula>
    </cfRule>
  </conditionalFormatting>
  <conditionalFormatting sqref="B62">
    <cfRule type="cellIs" dxfId="13" priority="9" operator="equal">
      <formula>"***"</formula>
    </cfRule>
  </conditionalFormatting>
  <conditionalFormatting sqref="M25:M26">
    <cfRule type="cellIs" dxfId="12" priority="7" operator="equal">
      <formula>"***"</formula>
    </cfRule>
  </conditionalFormatting>
  <conditionalFormatting sqref="M28:M29">
    <cfRule type="cellIs" dxfId="11" priority="8" operator="equal">
      <formula>"***"</formula>
    </cfRule>
  </conditionalFormatting>
  <conditionalFormatting sqref="M31">
    <cfRule type="cellIs" dxfId="10" priority="4" operator="equal">
      <formula>"***"</formula>
    </cfRule>
  </conditionalFormatting>
  <conditionalFormatting sqref="M33:M34">
    <cfRule type="cellIs" dxfId="9" priority="5" operator="equal">
      <formula>"***"</formula>
    </cfRule>
  </conditionalFormatting>
  <conditionalFormatting sqref="M36">
    <cfRule type="cellIs" dxfId="8" priority="2" operator="equal">
      <formula>"***"</formula>
    </cfRule>
  </conditionalFormatting>
  <conditionalFormatting sqref="M38:M41">
    <cfRule type="cellIs" dxfId="7" priority="1" operator="equal">
      <formula>"***"</formula>
    </cfRule>
  </conditionalFormatting>
  <conditionalFormatting sqref="M43:M44">
    <cfRule type="cellIs" dxfId="6" priority="20" operator="equal">
      <formula>"***"</formula>
    </cfRule>
  </conditionalFormatting>
  <conditionalFormatting sqref="M52">
    <cfRule type="cellIs" dxfId="5" priority="17" operator="equal">
      <formula>"***"</formula>
    </cfRule>
  </conditionalFormatting>
  <conditionalFormatting sqref="M54:M55">
    <cfRule type="cellIs" dxfId="4" priority="16" operator="equal">
      <formula>"***"</formula>
    </cfRule>
  </conditionalFormatting>
  <conditionalFormatting sqref="M57">
    <cfRule type="cellIs" dxfId="3" priority="14" operator="equal">
      <formula>"***"</formula>
    </cfRule>
  </conditionalFormatting>
  <conditionalFormatting sqref="M59:M60">
    <cfRule type="cellIs" dxfId="2" priority="13" operator="equal">
      <formula>"***"</formula>
    </cfRule>
  </conditionalFormatting>
  <conditionalFormatting sqref="M62">
    <cfRule type="cellIs" dxfId="1" priority="11" operator="equal">
      <formula>"***"</formula>
    </cfRule>
  </conditionalFormatting>
  <conditionalFormatting sqref="M64:M65">
    <cfRule type="cellIs" dxfId="0" priority="10" operator="equal">
      <formula>"***"</formula>
    </cfRule>
  </conditionalFormatting>
  <printOptions gridLines="1"/>
  <pageMargins left="0" right="0" top="0" bottom="0" header="0.3" footer="0.3"/>
  <pageSetup scale="42" fitToHeight="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30E694-072E-4F15-8FD8-1C9086CC28AE}">
  <sheetPr>
    <pageSetUpPr fitToPage="1"/>
  </sheetPr>
  <dimension ref="A1:X72"/>
  <sheetViews>
    <sheetView workbookViewId="0">
      <selection activeCell="K19" sqref="K19"/>
    </sheetView>
  </sheetViews>
  <sheetFormatPr defaultColWidth="9.42578125" defaultRowHeight="14.25"/>
  <cols>
    <col min="1" max="1" width="5.5703125" style="51" customWidth="1"/>
    <col min="2" max="4" width="5.42578125" style="51" customWidth="1"/>
    <col min="5" max="5" width="14.42578125" style="51" customWidth="1"/>
    <col min="6" max="6" width="15.5703125" style="51" customWidth="1"/>
    <col min="7" max="7" width="13.42578125" style="51" customWidth="1"/>
    <col min="8" max="8" width="1.5703125" style="51" customWidth="1"/>
    <col min="9" max="9" width="42.42578125" style="51" customWidth="1"/>
    <col min="10" max="10" width="1.42578125" style="51" customWidth="1"/>
    <col min="11" max="11" width="42.42578125" style="51" customWidth="1"/>
    <col min="12" max="12" width="2.5703125" style="51" customWidth="1"/>
    <col min="13" max="13" width="20.5703125" style="51" customWidth="1"/>
    <col min="14" max="14" width="5.5703125" style="51" customWidth="1"/>
    <col min="15" max="15" width="35.5703125" style="51" customWidth="1"/>
    <col min="16" max="16" width="2.5703125" style="51" customWidth="1"/>
    <col min="17" max="17" width="14.42578125" style="51" customWidth="1"/>
    <col min="18" max="18" width="2.5703125" style="51" customWidth="1"/>
    <col min="19" max="19" width="11.42578125" style="51" customWidth="1"/>
    <col min="20" max="20" width="2.5703125" style="51" customWidth="1"/>
    <col min="21" max="23" width="16.42578125" style="51" customWidth="1"/>
    <col min="24" max="24" width="5.5703125" style="51" customWidth="1"/>
    <col min="25" max="25" width="9.42578125" style="51"/>
    <col min="26" max="26" width="14" style="51" customWidth="1"/>
    <col min="27" max="27" width="22.5703125" style="51" customWidth="1"/>
    <col min="28" max="28" width="16.42578125" style="51" customWidth="1"/>
    <col min="29" max="29" width="9.42578125" style="51"/>
    <col min="30" max="30" width="13" style="51" customWidth="1"/>
    <col min="31" max="31" width="9.42578125" style="51"/>
    <col min="32" max="32" width="11" style="51" customWidth="1"/>
    <col min="33" max="16384" width="9.42578125" style="51"/>
  </cols>
  <sheetData>
    <row r="1" spans="1:24" ht="75" customHeight="1">
      <c r="A1" s="50"/>
      <c r="B1" s="50"/>
      <c r="C1" s="50"/>
      <c r="D1" s="50"/>
      <c r="E1" s="50"/>
      <c r="F1" s="50"/>
      <c r="G1" s="50"/>
      <c r="H1" s="50"/>
      <c r="I1" s="50"/>
      <c r="J1" s="50"/>
      <c r="K1" s="50"/>
      <c r="L1" s="50"/>
      <c r="M1" s="50"/>
      <c r="N1" s="50"/>
      <c r="O1" s="50"/>
      <c r="P1" s="50"/>
      <c r="Q1" s="50"/>
      <c r="R1" s="50"/>
      <c r="S1" s="50"/>
      <c r="T1" s="50"/>
      <c r="U1" s="50"/>
      <c r="V1" s="50"/>
      <c r="W1" s="50"/>
      <c r="X1" s="50"/>
    </row>
    <row r="2" spans="1:24" ht="15" customHeight="1">
      <c r="A2" s="93"/>
      <c r="B2" s="93"/>
      <c r="C2" s="93"/>
      <c r="D2" s="93"/>
      <c r="E2" s="93"/>
      <c r="F2" s="93"/>
      <c r="G2" s="93"/>
      <c r="H2" s="93"/>
      <c r="I2" s="93"/>
      <c r="J2" s="93"/>
      <c r="K2" s="93"/>
      <c r="L2" s="93"/>
      <c r="M2" s="93"/>
      <c r="N2" s="93"/>
      <c r="O2" s="93"/>
      <c r="P2" s="93"/>
      <c r="Q2" s="93"/>
      <c r="R2" s="93"/>
      <c r="S2" s="93"/>
      <c r="T2" s="93"/>
      <c r="U2" s="93"/>
      <c r="V2" s="93"/>
      <c r="W2" s="93"/>
      <c r="X2" s="93"/>
    </row>
    <row r="3" spans="1:24" s="54" customFormat="1" ht="30.75" customHeight="1">
      <c r="A3" s="115"/>
      <c r="B3" s="76"/>
      <c r="C3" s="115"/>
      <c r="D3" s="115"/>
      <c r="E3" s="115"/>
      <c r="F3" s="115"/>
      <c r="G3" s="115"/>
      <c r="H3" s="115"/>
      <c r="I3" s="115"/>
      <c r="J3" s="115"/>
      <c r="K3" s="115"/>
      <c r="L3" s="115"/>
      <c r="M3" s="115"/>
      <c r="N3" s="115"/>
      <c r="O3" s="115"/>
      <c r="P3" s="115"/>
      <c r="Q3" s="115"/>
      <c r="R3" s="115"/>
      <c r="S3" s="115"/>
      <c r="T3" s="115"/>
      <c r="U3" s="115"/>
      <c r="V3" s="115"/>
      <c r="W3" s="17" t="str">
        <f>'Front Cover'!W3</f>
        <v>September 2025</v>
      </c>
      <c r="X3" s="115"/>
    </row>
    <row r="4" spans="1:24" ht="18.75" customHeight="1">
      <c r="A4" s="92"/>
      <c r="B4" s="83" t="s">
        <v>269</v>
      </c>
      <c r="C4" s="1"/>
      <c r="D4" s="1"/>
      <c r="E4" s="1"/>
      <c r="F4" s="1"/>
      <c r="G4" s="1"/>
      <c r="H4" s="1"/>
      <c r="I4" s="1"/>
      <c r="J4" s="1"/>
      <c r="K4" s="1"/>
      <c r="L4" s="1"/>
      <c r="M4" s="1"/>
      <c r="N4" s="1"/>
      <c r="O4" s="1"/>
      <c r="P4" s="1"/>
      <c r="Q4" s="1"/>
      <c r="R4" s="1"/>
      <c r="S4" s="1"/>
      <c r="T4" s="1"/>
      <c r="U4" s="1"/>
      <c r="V4" s="1"/>
      <c r="W4" s="1"/>
      <c r="X4" s="92"/>
    </row>
    <row r="5" spans="1:24" ht="5.25" customHeight="1">
      <c r="A5" s="92"/>
      <c r="B5" s="1"/>
      <c r="C5" s="1"/>
      <c r="D5" s="1"/>
      <c r="E5" s="1"/>
      <c r="F5" s="1"/>
      <c r="G5" s="1"/>
      <c r="H5" s="1"/>
      <c r="I5" s="1"/>
      <c r="J5" s="1"/>
      <c r="K5" s="1"/>
      <c r="L5" s="1"/>
      <c r="M5" s="1"/>
      <c r="N5" s="1"/>
      <c r="O5" s="1"/>
      <c r="P5" s="1"/>
      <c r="Q5" s="1"/>
      <c r="R5" s="1"/>
      <c r="S5" s="1"/>
      <c r="T5" s="1"/>
      <c r="U5" s="1"/>
      <c r="V5" s="1"/>
      <c r="W5" s="1"/>
      <c r="X5" s="92"/>
    </row>
    <row r="6" spans="1:24">
      <c r="A6" s="92"/>
      <c r="B6" s="1"/>
      <c r="C6" s="1"/>
      <c r="D6" s="1"/>
      <c r="E6" s="1"/>
      <c r="F6" s="1"/>
      <c r="G6" s="1"/>
      <c r="H6" s="1"/>
      <c r="I6" s="1"/>
      <c r="J6" s="1"/>
      <c r="K6" s="1"/>
      <c r="L6" s="1"/>
      <c r="M6" s="1"/>
      <c r="N6" s="1"/>
      <c r="O6" s="1"/>
      <c r="P6" s="1"/>
      <c r="Q6" s="1"/>
      <c r="R6" s="1"/>
      <c r="S6" s="1"/>
      <c r="T6" s="1"/>
      <c r="U6" s="1"/>
      <c r="V6" s="1"/>
      <c r="W6" s="1"/>
      <c r="X6" s="92"/>
    </row>
    <row r="7" spans="1:24" ht="18.75" customHeight="1">
      <c r="A7" s="92"/>
      <c r="B7" s="32" t="s">
        <v>270</v>
      </c>
      <c r="C7" s="1"/>
      <c r="D7" s="1"/>
      <c r="E7" s="1"/>
      <c r="F7" s="1"/>
      <c r="G7" s="1"/>
      <c r="H7" s="1"/>
      <c r="I7" s="1"/>
      <c r="J7" s="1"/>
      <c r="K7" s="1"/>
      <c r="L7" s="1"/>
      <c r="M7" s="1"/>
      <c r="N7" s="1"/>
      <c r="O7" s="1"/>
      <c r="P7" s="1"/>
      <c r="Q7" s="1"/>
      <c r="R7" s="1"/>
      <c r="S7" s="1"/>
      <c r="T7" s="1"/>
      <c r="U7" s="1"/>
      <c r="V7" s="1"/>
      <c r="W7" s="1"/>
      <c r="X7" s="92"/>
    </row>
    <row r="8" spans="1:24" ht="5.25" customHeight="1">
      <c r="A8" s="92"/>
      <c r="B8" s="1"/>
      <c r="C8" s="1"/>
      <c r="D8" s="1"/>
      <c r="E8" s="1"/>
      <c r="F8" s="1"/>
      <c r="G8" s="1"/>
      <c r="H8" s="1"/>
      <c r="I8" s="1"/>
      <c r="J8" s="1"/>
      <c r="K8" s="1"/>
      <c r="L8" s="1"/>
      <c r="M8" s="1"/>
      <c r="N8" s="1"/>
      <c r="O8" s="1"/>
      <c r="P8" s="1"/>
      <c r="Q8" s="1"/>
      <c r="R8" s="1"/>
      <c r="S8" s="1"/>
      <c r="T8" s="1"/>
      <c r="U8" s="1"/>
      <c r="V8" s="1"/>
      <c r="W8" s="1"/>
      <c r="X8" s="92"/>
    </row>
    <row r="9" spans="1:24" ht="45" customHeight="1">
      <c r="A9" s="92"/>
      <c r="B9" s="535" t="s">
        <v>271</v>
      </c>
      <c r="C9" s="535"/>
      <c r="D9" s="535"/>
      <c r="E9" s="535"/>
      <c r="F9" s="535"/>
      <c r="G9" s="535"/>
      <c r="H9" s="34"/>
      <c r="I9" s="535" t="s">
        <v>272</v>
      </c>
      <c r="J9" s="535"/>
      <c r="K9" s="535"/>
      <c r="L9" s="535"/>
      <c r="M9" s="535"/>
      <c r="N9" s="535"/>
      <c r="O9" s="535"/>
      <c r="P9" s="535"/>
      <c r="Q9" s="535"/>
      <c r="R9" s="535"/>
      <c r="S9" s="535"/>
      <c r="T9" s="1"/>
      <c r="U9" s="1"/>
      <c r="V9" s="1"/>
      <c r="W9" s="1"/>
      <c r="X9" s="92"/>
    </row>
    <row r="10" spans="1:24" ht="5.25" customHeight="1">
      <c r="A10" s="92"/>
      <c r="B10" s="1"/>
      <c r="C10" s="1"/>
      <c r="D10" s="1"/>
      <c r="E10" s="1"/>
      <c r="F10" s="1"/>
      <c r="G10" s="1"/>
      <c r="H10" s="1"/>
      <c r="I10" s="1"/>
      <c r="J10" s="1"/>
      <c r="K10" s="1"/>
      <c r="L10" s="1"/>
      <c r="M10" s="1"/>
      <c r="N10" s="1"/>
      <c r="O10" s="1"/>
      <c r="P10" s="1"/>
      <c r="Q10" s="1"/>
      <c r="R10" s="1"/>
      <c r="S10" s="1"/>
      <c r="T10" s="1"/>
      <c r="U10" s="1"/>
      <c r="V10" s="1"/>
      <c r="W10" s="1"/>
      <c r="X10" s="92"/>
    </row>
    <row r="11" spans="1:24" ht="60.75" customHeight="1">
      <c r="A11" s="92"/>
      <c r="B11" s="533" t="s">
        <v>273</v>
      </c>
      <c r="C11" s="533"/>
      <c r="D11" s="533"/>
      <c r="E11" s="533"/>
      <c r="F11" s="533"/>
      <c r="G11" s="533"/>
      <c r="H11" s="2"/>
      <c r="I11" s="534" t="s">
        <v>274</v>
      </c>
      <c r="J11" s="534"/>
      <c r="K11" s="534"/>
      <c r="L11" s="534"/>
      <c r="M11" s="534"/>
      <c r="N11" s="534"/>
      <c r="O11" s="534"/>
      <c r="P11" s="534"/>
      <c r="Q11" s="534"/>
      <c r="R11" s="534"/>
      <c r="S11" s="534"/>
      <c r="T11" s="2"/>
      <c r="U11" s="2"/>
      <c r="V11" s="2"/>
      <c r="W11" s="2"/>
      <c r="X11" s="92"/>
    </row>
    <row r="12" spans="1:24">
      <c r="A12" s="92"/>
      <c r="B12" s="2"/>
      <c r="C12" s="2"/>
      <c r="D12" s="2"/>
      <c r="E12" s="2"/>
      <c r="F12" s="2"/>
      <c r="G12" s="2"/>
      <c r="H12" s="2"/>
      <c r="I12" s="2"/>
      <c r="J12" s="2"/>
      <c r="K12" s="2"/>
      <c r="L12" s="2"/>
      <c r="M12" s="2"/>
      <c r="N12" s="2"/>
      <c r="O12" s="2"/>
      <c r="P12" s="2"/>
      <c r="Q12" s="2"/>
      <c r="R12" s="2"/>
      <c r="S12" s="2"/>
      <c r="T12" s="2"/>
      <c r="U12" s="2"/>
      <c r="V12" s="2"/>
      <c r="W12" s="2"/>
      <c r="X12" s="92"/>
    </row>
    <row r="13" spans="1:24">
      <c r="A13" s="92"/>
      <c r="B13" s="2"/>
      <c r="C13" s="2"/>
      <c r="D13" s="2"/>
      <c r="E13" s="2"/>
      <c r="F13" s="2"/>
      <c r="G13" s="2"/>
      <c r="H13" s="2"/>
      <c r="I13" s="2"/>
      <c r="J13" s="2"/>
      <c r="K13" s="2"/>
      <c r="L13" s="2"/>
      <c r="M13" s="2"/>
      <c r="N13" s="2"/>
      <c r="O13" s="2"/>
      <c r="P13" s="2"/>
      <c r="Q13" s="2"/>
      <c r="R13" s="2"/>
      <c r="S13" s="2"/>
      <c r="T13" s="2"/>
      <c r="U13" s="2"/>
      <c r="V13" s="2"/>
      <c r="W13" s="2"/>
      <c r="X13" s="92"/>
    </row>
    <row r="14" spans="1:24">
      <c r="A14" s="92"/>
      <c r="B14" s="2"/>
      <c r="C14" s="2"/>
      <c r="D14" s="2"/>
      <c r="E14" s="2"/>
      <c r="F14" s="2"/>
      <c r="G14" s="2"/>
      <c r="H14" s="2"/>
      <c r="I14" s="2"/>
      <c r="J14" s="2"/>
      <c r="K14" s="2"/>
      <c r="L14" s="2"/>
      <c r="M14" s="2"/>
      <c r="N14" s="2"/>
      <c r="O14" s="2"/>
      <c r="P14" s="2"/>
      <c r="Q14" s="2"/>
      <c r="R14" s="2"/>
      <c r="S14" s="2"/>
      <c r="T14" s="2"/>
      <c r="U14" s="2"/>
      <c r="V14" s="2"/>
      <c r="W14" s="2"/>
      <c r="X14" s="92"/>
    </row>
    <row r="15" spans="1:24">
      <c r="A15" s="92"/>
      <c r="B15" s="2"/>
      <c r="C15" s="2"/>
      <c r="D15" s="2"/>
      <c r="E15" s="2"/>
      <c r="F15" s="2"/>
      <c r="G15" s="2"/>
      <c r="H15" s="2"/>
      <c r="I15" s="2"/>
      <c r="J15" s="2"/>
      <c r="K15" s="2"/>
      <c r="L15" s="2"/>
      <c r="M15" s="2"/>
      <c r="N15" s="2"/>
      <c r="O15" s="2"/>
      <c r="P15" s="2"/>
      <c r="Q15" s="2"/>
      <c r="R15" s="2"/>
      <c r="S15" s="2"/>
      <c r="T15" s="2"/>
      <c r="U15" s="2"/>
      <c r="V15" s="2"/>
      <c r="W15" s="2"/>
      <c r="X15" s="92"/>
    </row>
    <row r="16" spans="1:24">
      <c r="A16" s="92"/>
      <c r="B16" s="2"/>
      <c r="C16" s="2"/>
      <c r="D16" s="2"/>
      <c r="E16" s="2"/>
      <c r="F16" s="2"/>
      <c r="G16" s="2"/>
      <c r="H16" s="2"/>
      <c r="I16" s="2"/>
      <c r="J16" s="2"/>
      <c r="K16" s="2"/>
      <c r="L16" s="2"/>
      <c r="M16" s="2"/>
      <c r="N16" s="2"/>
      <c r="O16" s="2"/>
      <c r="P16" s="2"/>
      <c r="Q16" s="2"/>
      <c r="R16" s="2"/>
      <c r="S16" s="2"/>
      <c r="T16" s="2"/>
      <c r="U16" s="2"/>
      <c r="V16" s="2"/>
      <c r="W16" s="2"/>
      <c r="X16" s="92"/>
    </row>
    <row r="17" spans="1:24">
      <c r="A17" s="92"/>
      <c r="B17" s="2"/>
      <c r="C17" s="2"/>
      <c r="D17" s="2"/>
      <c r="E17" s="2"/>
      <c r="F17" s="2"/>
      <c r="G17" s="2"/>
      <c r="H17" s="2"/>
      <c r="I17" s="2"/>
      <c r="J17" s="2"/>
      <c r="K17" s="2"/>
      <c r="L17" s="2"/>
      <c r="M17" s="2"/>
      <c r="N17" s="2"/>
      <c r="O17" s="2"/>
      <c r="P17" s="2"/>
      <c r="Q17" s="2"/>
      <c r="R17" s="2"/>
      <c r="S17" s="2"/>
      <c r="T17" s="2"/>
      <c r="U17" s="2"/>
      <c r="V17" s="2"/>
      <c r="W17" s="2"/>
      <c r="X17" s="92"/>
    </row>
    <row r="18" spans="1:24">
      <c r="A18" s="92"/>
      <c r="B18" s="2"/>
      <c r="C18" s="2"/>
      <c r="D18" s="2"/>
      <c r="E18" s="2"/>
      <c r="F18" s="2"/>
      <c r="G18" s="2"/>
      <c r="H18" s="2"/>
      <c r="I18" s="2"/>
      <c r="J18" s="2"/>
      <c r="K18" s="2"/>
      <c r="L18" s="2"/>
      <c r="M18" s="2"/>
      <c r="N18" s="2"/>
      <c r="O18" s="2"/>
      <c r="P18" s="2"/>
      <c r="Q18" s="2"/>
      <c r="R18" s="2"/>
      <c r="S18" s="2"/>
      <c r="T18" s="2"/>
      <c r="U18" s="2"/>
      <c r="V18" s="2"/>
      <c r="W18" s="2"/>
      <c r="X18" s="92"/>
    </row>
    <row r="19" spans="1:24">
      <c r="A19" s="92"/>
      <c r="B19" s="2"/>
      <c r="C19" s="2"/>
      <c r="D19" s="2"/>
      <c r="E19" s="2"/>
      <c r="F19" s="2"/>
      <c r="G19" s="2"/>
      <c r="H19" s="2"/>
      <c r="I19" s="2"/>
      <c r="J19" s="2"/>
      <c r="K19" s="2"/>
      <c r="L19" s="2"/>
      <c r="M19" s="2"/>
      <c r="N19" s="2"/>
      <c r="O19" s="2"/>
      <c r="P19" s="2"/>
      <c r="Q19" s="2"/>
      <c r="R19" s="2"/>
      <c r="S19" s="2"/>
      <c r="T19" s="2"/>
      <c r="U19" s="2"/>
      <c r="V19" s="2"/>
      <c r="W19" s="2"/>
      <c r="X19" s="92"/>
    </row>
    <row r="20" spans="1:24">
      <c r="A20" s="92"/>
      <c r="B20" s="2"/>
      <c r="C20" s="2"/>
      <c r="D20" s="2"/>
      <c r="E20" s="2"/>
      <c r="F20" s="2"/>
      <c r="G20" s="2"/>
      <c r="H20" s="2"/>
      <c r="I20" s="2"/>
      <c r="J20" s="2"/>
      <c r="K20" s="2"/>
      <c r="L20" s="2"/>
      <c r="M20" s="2"/>
      <c r="N20" s="2"/>
      <c r="O20" s="2"/>
      <c r="P20" s="2"/>
      <c r="Q20" s="2"/>
      <c r="R20" s="2"/>
      <c r="S20" s="2"/>
      <c r="T20" s="2"/>
      <c r="U20" s="2"/>
      <c r="V20" s="2"/>
      <c r="W20" s="2"/>
      <c r="X20" s="92"/>
    </row>
    <row r="21" spans="1:24">
      <c r="A21" s="92"/>
      <c r="B21" s="2"/>
      <c r="C21" s="2"/>
      <c r="D21" s="2"/>
      <c r="E21" s="2"/>
      <c r="F21" s="2"/>
      <c r="G21" s="2"/>
      <c r="H21" s="2"/>
      <c r="I21" s="2"/>
      <c r="J21" s="2"/>
      <c r="K21" s="2"/>
      <c r="L21" s="2"/>
      <c r="M21" s="2"/>
      <c r="N21" s="2"/>
      <c r="O21" s="2"/>
      <c r="P21" s="2"/>
      <c r="Q21" s="2"/>
      <c r="R21" s="2"/>
      <c r="S21" s="2"/>
      <c r="T21" s="2"/>
      <c r="U21" s="2"/>
      <c r="V21" s="2"/>
      <c r="W21" s="2"/>
      <c r="X21" s="92"/>
    </row>
    <row r="22" spans="1:24">
      <c r="A22" s="92"/>
      <c r="B22" s="2"/>
      <c r="C22" s="2"/>
      <c r="D22" s="2"/>
      <c r="E22" s="2"/>
      <c r="F22" s="2"/>
      <c r="G22" s="2"/>
      <c r="H22" s="2"/>
      <c r="I22" s="2"/>
      <c r="J22" s="2"/>
      <c r="K22" s="2"/>
      <c r="L22" s="2"/>
      <c r="M22" s="2"/>
      <c r="N22" s="2"/>
      <c r="O22" s="2"/>
      <c r="P22" s="2"/>
      <c r="Q22" s="2"/>
      <c r="R22" s="2"/>
      <c r="S22" s="2"/>
      <c r="T22" s="2"/>
      <c r="U22" s="2"/>
      <c r="V22" s="2"/>
      <c r="W22" s="2"/>
      <c r="X22" s="92"/>
    </row>
    <row r="23" spans="1:24">
      <c r="A23" s="92"/>
      <c r="B23" s="2"/>
      <c r="C23" s="2"/>
      <c r="D23" s="2"/>
      <c r="E23" s="2"/>
      <c r="F23" s="2"/>
      <c r="G23" s="2"/>
      <c r="H23" s="2"/>
      <c r="I23" s="2"/>
      <c r="J23" s="2"/>
      <c r="K23" s="2"/>
      <c r="L23" s="2"/>
      <c r="M23" s="2"/>
      <c r="N23" s="2"/>
      <c r="O23" s="2"/>
      <c r="P23" s="2"/>
      <c r="Q23" s="2"/>
      <c r="R23" s="2"/>
      <c r="S23" s="2"/>
      <c r="T23" s="2"/>
      <c r="U23" s="2"/>
      <c r="V23" s="2"/>
      <c r="W23" s="2"/>
      <c r="X23" s="92"/>
    </row>
    <row r="24" spans="1:24">
      <c r="A24" s="92"/>
      <c r="B24" s="2"/>
      <c r="C24" s="2"/>
      <c r="D24" s="2"/>
      <c r="E24" s="2"/>
      <c r="F24" s="2"/>
      <c r="G24" s="2"/>
      <c r="H24" s="2"/>
      <c r="I24" s="2"/>
      <c r="J24" s="2"/>
      <c r="K24" s="2"/>
      <c r="L24" s="2"/>
      <c r="M24" s="2"/>
      <c r="N24" s="2"/>
      <c r="O24" s="2"/>
      <c r="P24" s="2"/>
      <c r="Q24" s="2"/>
      <c r="R24" s="2"/>
      <c r="S24" s="2"/>
      <c r="T24" s="2"/>
      <c r="U24" s="2"/>
      <c r="V24" s="2"/>
      <c r="W24" s="2"/>
      <c r="X24" s="92"/>
    </row>
    <row r="25" spans="1:24">
      <c r="A25" s="92"/>
      <c r="B25" s="2"/>
      <c r="C25" s="2"/>
      <c r="D25" s="2"/>
      <c r="E25" s="2"/>
      <c r="F25" s="2"/>
      <c r="G25" s="2"/>
      <c r="H25" s="2"/>
      <c r="I25" s="2"/>
      <c r="J25" s="2"/>
      <c r="K25" s="2"/>
      <c r="L25" s="2"/>
      <c r="M25" s="2"/>
      <c r="N25" s="2"/>
      <c r="O25" s="2"/>
      <c r="P25" s="2"/>
      <c r="Q25" s="2"/>
      <c r="R25" s="2"/>
      <c r="S25" s="2"/>
      <c r="T25" s="2"/>
      <c r="U25" s="2"/>
      <c r="V25" s="2"/>
      <c r="W25" s="2"/>
      <c r="X25" s="92"/>
    </row>
    <row r="26" spans="1:24">
      <c r="A26" s="92"/>
      <c r="B26" s="2"/>
      <c r="C26" s="2"/>
      <c r="D26" s="2"/>
      <c r="E26" s="2"/>
      <c r="F26" s="2"/>
      <c r="G26" s="2"/>
      <c r="H26" s="2"/>
      <c r="I26" s="2"/>
      <c r="J26" s="2"/>
      <c r="K26" s="2"/>
      <c r="L26" s="2"/>
      <c r="M26" s="2"/>
      <c r="N26" s="2"/>
      <c r="O26" s="2"/>
      <c r="P26" s="2"/>
      <c r="Q26" s="2"/>
      <c r="R26" s="2"/>
      <c r="S26" s="2"/>
      <c r="T26" s="2"/>
      <c r="U26" s="2"/>
      <c r="V26" s="2"/>
      <c r="W26" s="2"/>
      <c r="X26" s="92"/>
    </row>
    <row r="27" spans="1:24">
      <c r="A27" s="92"/>
      <c r="B27" s="2"/>
      <c r="C27" s="2"/>
      <c r="D27" s="2"/>
      <c r="E27" s="2"/>
      <c r="F27" s="2"/>
      <c r="G27" s="2"/>
      <c r="H27" s="2"/>
      <c r="I27" s="2"/>
      <c r="J27" s="2"/>
      <c r="K27" s="2"/>
      <c r="L27" s="2"/>
      <c r="M27" s="2"/>
      <c r="N27" s="2"/>
      <c r="O27" s="2"/>
      <c r="P27" s="2"/>
      <c r="Q27" s="2"/>
      <c r="R27" s="2"/>
      <c r="S27" s="2"/>
      <c r="T27" s="2"/>
      <c r="U27" s="2"/>
      <c r="V27" s="2"/>
      <c r="W27" s="2"/>
      <c r="X27" s="92"/>
    </row>
    <row r="28" spans="1:24">
      <c r="A28" s="92"/>
      <c r="B28" s="2"/>
      <c r="C28" s="2"/>
      <c r="D28" s="2"/>
      <c r="E28" s="2"/>
      <c r="F28" s="2"/>
      <c r="G28" s="2"/>
      <c r="H28" s="2"/>
      <c r="I28" s="2"/>
      <c r="J28" s="2"/>
      <c r="K28" s="2"/>
      <c r="L28" s="2"/>
      <c r="M28" s="2"/>
      <c r="N28" s="2"/>
      <c r="O28" s="2"/>
      <c r="P28" s="2"/>
      <c r="Q28" s="2"/>
      <c r="R28" s="2"/>
      <c r="S28" s="2"/>
      <c r="T28" s="2"/>
      <c r="U28" s="2"/>
      <c r="V28" s="2"/>
      <c r="W28" s="2"/>
      <c r="X28" s="92"/>
    </row>
    <row r="29" spans="1:24">
      <c r="A29" s="92"/>
      <c r="B29" s="2"/>
      <c r="C29" s="2"/>
      <c r="D29" s="2"/>
      <c r="E29" s="2"/>
      <c r="F29" s="2"/>
      <c r="G29" s="2"/>
      <c r="H29" s="2"/>
      <c r="I29" s="2"/>
      <c r="J29" s="2"/>
      <c r="K29" s="2"/>
      <c r="L29" s="2"/>
      <c r="M29" s="2"/>
      <c r="N29" s="2"/>
      <c r="O29" s="2"/>
      <c r="P29" s="2"/>
      <c r="Q29" s="2"/>
      <c r="R29" s="2"/>
      <c r="S29" s="2"/>
      <c r="T29" s="2"/>
      <c r="U29" s="2"/>
      <c r="V29" s="2"/>
      <c r="W29" s="2"/>
      <c r="X29" s="92"/>
    </row>
    <row r="30" spans="1:24">
      <c r="A30" s="92"/>
      <c r="B30" s="2"/>
      <c r="C30" s="2"/>
      <c r="D30" s="2"/>
      <c r="E30" s="2"/>
      <c r="F30" s="2"/>
      <c r="G30" s="2"/>
      <c r="H30" s="2"/>
      <c r="I30" s="2"/>
      <c r="J30" s="2"/>
      <c r="K30" s="2"/>
      <c r="L30" s="2"/>
      <c r="M30" s="2"/>
      <c r="N30" s="2"/>
      <c r="O30" s="2"/>
      <c r="P30" s="2"/>
      <c r="Q30" s="2"/>
      <c r="R30" s="2"/>
      <c r="S30" s="2"/>
      <c r="T30" s="2"/>
      <c r="U30" s="2"/>
      <c r="V30" s="2"/>
      <c r="W30" s="2"/>
      <c r="X30" s="92"/>
    </row>
    <row r="31" spans="1:24">
      <c r="A31" s="92"/>
      <c r="B31" s="2"/>
      <c r="C31" s="2"/>
      <c r="D31" s="2"/>
      <c r="E31" s="2"/>
      <c r="F31" s="2"/>
      <c r="G31" s="2"/>
      <c r="H31" s="2"/>
      <c r="I31" s="2"/>
      <c r="J31" s="2"/>
      <c r="K31" s="2"/>
      <c r="L31" s="2"/>
      <c r="M31" s="2"/>
      <c r="N31" s="2"/>
      <c r="O31" s="2"/>
      <c r="P31" s="2"/>
      <c r="Q31" s="2"/>
      <c r="R31" s="2"/>
      <c r="S31" s="2"/>
      <c r="T31" s="2"/>
      <c r="U31" s="2"/>
      <c r="V31" s="2"/>
      <c r="W31" s="2"/>
      <c r="X31" s="92"/>
    </row>
    <row r="32" spans="1:24">
      <c r="A32" s="92"/>
      <c r="B32" s="2"/>
      <c r="C32" s="2"/>
      <c r="D32" s="2"/>
      <c r="E32" s="2"/>
      <c r="F32" s="2"/>
      <c r="G32" s="2"/>
      <c r="H32" s="2"/>
      <c r="I32" s="2"/>
      <c r="J32" s="2"/>
      <c r="K32" s="2"/>
      <c r="L32" s="2"/>
      <c r="M32" s="2"/>
      <c r="N32" s="2"/>
      <c r="O32" s="2"/>
      <c r="P32" s="2"/>
      <c r="Q32" s="2"/>
      <c r="R32" s="2"/>
      <c r="S32" s="2"/>
      <c r="T32" s="2"/>
      <c r="U32" s="2"/>
      <c r="V32" s="2"/>
      <c r="W32" s="2"/>
      <c r="X32" s="92"/>
    </row>
    <row r="33" spans="1:24">
      <c r="A33" s="92"/>
      <c r="B33" s="2"/>
      <c r="C33" s="2"/>
      <c r="D33" s="2"/>
      <c r="E33" s="2"/>
      <c r="F33" s="2"/>
      <c r="G33" s="2"/>
      <c r="H33" s="2"/>
      <c r="I33" s="2"/>
      <c r="J33" s="2"/>
      <c r="K33" s="2"/>
      <c r="L33" s="2"/>
      <c r="M33" s="2"/>
      <c r="N33" s="2"/>
      <c r="O33" s="2"/>
      <c r="P33" s="2"/>
      <c r="Q33" s="2"/>
      <c r="R33" s="2"/>
      <c r="S33" s="2"/>
      <c r="T33" s="2"/>
      <c r="U33" s="2"/>
      <c r="V33" s="2"/>
      <c r="W33" s="2"/>
      <c r="X33" s="92"/>
    </row>
    <row r="34" spans="1:24">
      <c r="A34" s="92"/>
      <c r="B34" s="2"/>
      <c r="C34" s="2"/>
      <c r="D34" s="2"/>
      <c r="E34" s="2"/>
      <c r="F34" s="2"/>
      <c r="G34" s="2"/>
      <c r="H34" s="2"/>
      <c r="I34" s="2"/>
      <c r="J34" s="2"/>
      <c r="K34" s="2"/>
      <c r="L34" s="2"/>
      <c r="M34" s="2"/>
      <c r="N34" s="2"/>
      <c r="O34" s="2"/>
      <c r="P34" s="2"/>
      <c r="Q34" s="2"/>
      <c r="R34" s="2"/>
      <c r="S34" s="2"/>
      <c r="T34" s="2"/>
      <c r="U34" s="2"/>
      <c r="V34" s="2"/>
      <c r="W34" s="2"/>
      <c r="X34" s="92"/>
    </row>
    <row r="35" spans="1:24">
      <c r="A35" s="92"/>
      <c r="B35" s="2"/>
      <c r="C35" s="2"/>
      <c r="D35" s="2"/>
      <c r="E35" s="2"/>
      <c r="F35" s="2"/>
      <c r="G35" s="2"/>
      <c r="H35" s="2"/>
      <c r="I35" s="2"/>
      <c r="J35" s="2"/>
      <c r="K35" s="2"/>
      <c r="L35" s="2"/>
      <c r="M35" s="2"/>
      <c r="N35" s="2"/>
      <c r="O35" s="2"/>
      <c r="P35" s="2"/>
      <c r="Q35" s="2"/>
      <c r="R35" s="2"/>
      <c r="S35" s="2"/>
      <c r="T35" s="2"/>
      <c r="U35" s="2"/>
      <c r="V35" s="2"/>
      <c r="W35" s="2"/>
      <c r="X35" s="92"/>
    </row>
    <row r="36" spans="1:24">
      <c r="A36" s="92"/>
      <c r="B36" s="2"/>
      <c r="C36" s="2"/>
      <c r="D36" s="2"/>
      <c r="E36" s="2"/>
      <c r="F36" s="2"/>
      <c r="G36" s="2"/>
      <c r="H36" s="2"/>
      <c r="I36" s="2"/>
      <c r="J36" s="2"/>
      <c r="K36" s="2"/>
      <c r="L36" s="2"/>
      <c r="M36" s="2"/>
      <c r="N36" s="2"/>
      <c r="O36" s="2"/>
      <c r="P36" s="2"/>
      <c r="Q36" s="2"/>
      <c r="R36" s="2"/>
      <c r="S36" s="2"/>
      <c r="T36" s="2"/>
      <c r="U36" s="2"/>
      <c r="V36" s="2"/>
      <c r="W36" s="2"/>
      <c r="X36" s="92"/>
    </row>
    <row r="37" spans="1:24">
      <c r="A37" s="92"/>
      <c r="B37" s="2"/>
      <c r="C37" s="2"/>
      <c r="D37" s="2"/>
      <c r="E37" s="2"/>
      <c r="F37" s="2"/>
      <c r="G37" s="2"/>
      <c r="H37" s="2"/>
      <c r="I37" s="2"/>
      <c r="J37" s="2"/>
      <c r="K37" s="2"/>
      <c r="L37" s="2"/>
      <c r="M37" s="2"/>
      <c r="N37" s="2"/>
      <c r="O37" s="2"/>
      <c r="P37" s="2"/>
      <c r="Q37" s="2"/>
      <c r="R37" s="2"/>
      <c r="S37" s="2"/>
      <c r="T37" s="2"/>
      <c r="U37" s="2"/>
      <c r="V37" s="2"/>
      <c r="W37" s="2"/>
      <c r="X37" s="92"/>
    </row>
    <row r="38" spans="1:24">
      <c r="A38" s="92"/>
      <c r="B38" s="2"/>
      <c r="C38" s="2"/>
      <c r="D38" s="2"/>
      <c r="E38" s="2"/>
      <c r="F38" s="2"/>
      <c r="G38" s="2"/>
      <c r="H38" s="2"/>
      <c r="I38" s="2"/>
      <c r="J38" s="2"/>
      <c r="K38" s="2"/>
      <c r="L38" s="2"/>
      <c r="M38" s="2"/>
      <c r="N38" s="2"/>
      <c r="O38" s="2"/>
      <c r="P38" s="2"/>
      <c r="Q38" s="2"/>
      <c r="R38" s="2"/>
      <c r="S38" s="2"/>
      <c r="T38" s="2"/>
      <c r="U38" s="2"/>
      <c r="V38" s="2"/>
      <c r="W38" s="2"/>
      <c r="X38" s="92"/>
    </row>
    <row r="39" spans="1:24">
      <c r="A39" s="92"/>
      <c r="B39" s="2"/>
      <c r="C39" s="2"/>
      <c r="D39" s="2"/>
      <c r="E39" s="2"/>
      <c r="F39" s="2"/>
      <c r="G39" s="2"/>
      <c r="H39" s="2"/>
      <c r="I39" s="2"/>
      <c r="J39" s="2"/>
      <c r="K39" s="2"/>
      <c r="L39" s="2"/>
      <c r="M39" s="2"/>
      <c r="N39" s="2"/>
      <c r="O39" s="2"/>
      <c r="P39" s="2"/>
      <c r="Q39" s="2"/>
      <c r="R39" s="2"/>
      <c r="S39" s="2"/>
      <c r="T39" s="2"/>
      <c r="U39" s="2"/>
      <c r="V39" s="2"/>
      <c r="W39" s="2"/>
      <c r="X39" s="92"/>
    </row>
    <row r="40" spans="1:24">
      <c r="A40" s="92"/>
      <c r="B40" s="2"/>
      <c r="C40" s="2"/>
      <c r="D40" s="2"/>
      <c r="E40" s="2"/>
      <c r="F40" s="2"/>
      <c r="G40" s="2"/>
      <c r="H40" s="2"/>
      <c r="I40" s="2"/>
      <c r="J40" s="2"/>
      <c r="K40" s="2"/>
      <c r="L40" s="2"/>
      <c r="M40" s="2"/>
      <c r="N40" s="2"/>
      <c r="O40" s="2"/>
      <c r="P40" s="2"/>
      <c r="Q40" s="2"/>
      <c r="R40" s="2"/>
      <c r="S40" s="2"/>
      <c r="T40" s="2"/>
      <c r="U40" s="2"/>
      <c r="V40" s="2"/>
      <c r="W40" s="2"/>
      <c r="X40" s="92"/>
    </row>
    <row r="41" spans="1:24">
      <c r="A41" s="92"/>
      <c r="B41" s="2"/>
      <c r="C41" s="2"/>
      <c r="D41" s="2"/>
      <c r="E41" s="2"/>
      <c r="F41" s="2"/>
      <c r="G41" s="2"/>
      <c r="H41" s="2"/>
      <c r="I41" s="2"/>
      <c r="J41" s="2"/>
      <c r="K41" s="2"/>
      <c r="L41" s="2"/>
      <c r="M41" s="2"/>
      <c r="N41" s="2"/>
      <c r="O41" s="2"/>
      <c r="P41" s="2"/>
      <c r="Q41" s="2"/>
      <c r="R41" s="2"/>
      <c r="S41" s="2"/>
      <c r="T41" s="2"/>
      <c r="U41" s="2"/>
      <c r="V41" s="2"/>
      <c r="W41" s="2"/>
      <c r="X41" s="92"/>
    </row>
    <row r="42" spans="1:24">
      <c r="A42" s="92"/>
      <c r="B42" s="2"/>
      <c r="C42" s="2"/>
      <c r="D42" s="2"/>
      <c r="E42" s="2"/>
      <c r="F42" s="2"/>
      <c r="G42" s="2"/>
      <c r="H42" s="2"/>
      <c r="I42" s="2"/>
      <c r="J42" s="2"/>
      <c r="K42" s="2"/>
      <c r="L42" s="2"/>
      <c r="M42" s="2"/>
      <c r="N42" s="2"/>
      <c r="O42" s="2"/>
      <c r="P42" s="2"/>
      <c r="Q42" s="2"/>
      <c r="R42" s="2"/>
      <c r="S42" s="2"/>
      <c r="T42" s="2"/>
      <c r="U42" s="2"/>
      <c r="V42" s="2"/>
      <c r="W42" s="2"/>
      <c r="X42" s="92"/>
    </row>
    <row r="43" spans="1:24">
      <c r="A43" s="92"/>
      <c r="B43" s="2"/>
      <c r="C43" s="2"/>
      <c r="D43" s="2"/>
      <c r="E43" s="2"/>
      <c r="F43" s="2"/>
      <c r="G43" s="2"/>
      <c r="H43" s="2"/>
      <c r="I43" s="2"/>
      <c r="J43" s="2"/>
      <c r="K43" s="2"/>
      <c r="L43" s="2"/>
      <c r="M43" s="2"/>
      <c r="N43" s="2"/>
      <c r="O43" s="2"/>
      <c r="P43" s="2"/>
      <c r="Q43" s="2"/>
      <c r="R43" s="2"/>
      <c r="S43" s="2"/>
      <c r="T43" s="2"/>
      <c r="U43" s="2"/>
      <c r="V43" s="2"/>
      <c r="W43" s="2"/>
      <c r="X43" s="92"/>
    </row>
    <row r="44" spans="1:24">
      <c r="A44" s="92"/>
      <c r="B44" s="2"/>
      <c r="C44" s="2"/>
      <c r="D44" s="2"/>
      <c r="E44" s="2"/>
      <c r="F44" s="2"/>
      <c r="G44" s="2"/>
      <c r="H44" s="2"/>
      <c r="I44" s="2"/>
      <c r="J44" s="2"/>
      <c r="K44" s="2"/>
      <c r="L44" s="2"/>
      <c r="M44" s="2"/>
      <c r="N44" s="2"/>
      <c r="O44" s="2"/>
      <c r="P44" s="2"/>
      <c r="Q44" s="2"/>
      <c r="R44" s="2"/>
      <c r="S44" s="2"/>
      <c r="T44" s="2"/>
      <c r="U44" s="2"/>
      <c r="V44" s="2"/>
      <c r="W44" s="2"/>
      <c r="X44" s="92"/>
    </row>
    <row r="45" spans="1:24">
      <c r="A45" s="92"/>
      <c r="B45" s="2"/>
      <c r="C45" s="2"/>
      <c r="D45" s="2"/>
      <c r="E45" s="2"/>
      <c r="F45" s="2"/>
      <c r="G45" s="2"/>
      <c r="H45" s="2"/>
      <c r="I45" s="2"/>
      <c r="J45" s="2"/>
      <c r="K45" s="2"/>
      <c r="L45" s="2"/>
      <c r="M45" s="2"/>
      <c r="N45" s="2"/>
      <c r="O45" s="2"/>
      <c r="P45" s="2"/>
      <c r="Q45" s="2"/>
      <c r="R45" s="2"/>
      <c r="S45" s="2"/>
      <c r="T45" s="2"/>
      <c r="U45" s="2"/>
      <c r="V45" s="2"/>
      <c r="W45" s="2"/>
      <c r="X45" s="92"/>
    </row>
    <row r="46" spans="1:24">
      <c r="A46" s="92"/>
      <c r="B46" s="2"/>
      <c r="C46" s="2"/>
      <c r="D46" s="2"/>
      <c r="E46" s="2"/>
      <c r="F46" s="2"/>
      <c r="G46" s="2"/>
      <c r="H46" s="2"/>
      <c r="I46" s="2"/>
      <c r="J46" s="2"/>
      <c r="K46" s="2"/>
      <c r="L46" s="2"/>
      <c r="M46" s="2"/>
      <c r="N46" s="2"/>
      <c r="O46" s="2"/>
      <c r="P46" s="2"/>
      <c r="Q46" s="2"/>
      <c r="R46" s="2"/>
      <c r="S46" s="2"/>
      <c r="T46" s="2"/>
      <c r="U46" s="2"/>
      <c r="V46" s="2"/>
      <c r="W46" s="2"/>
      <c r="X46" s="92"/>
    </row>
    <row r="47" spans="1:24">
      <c r="A47" s="92"/>
      <c r="B47" s="2"/>
      <c r="C47" s="2"/>
      <c r="D47" s="2"/>
      <c r="E47" s="2"/>
      <c r="F47" s="2"/>
      <c r="G47" s="2"/>
      <c r="H47" s="2"/>
      <c r="I47" s="2"/>
      <c r="J47" s="2"/>
      <c r="K47" s="2"/>
      <c r="L47" s="2"/>
      <c r="M47" s="2"/>
      <c r="N47" s="2"/>
      <c r="O47" s="2"/>
      <c r="P47" s="2"/>
      <c r="Q47" s="2"/>
      <c r="R47" s="2"/>
      <c r="S47" s="2"/>
      <c r="T47" s="2"/>
      <c r="U47" s="2"/>
      <c r="V47" s="2"/>
      <c r="W47" s="2"/>
      <c r="X47" s="92"/>
    </row>
    <row r="48" spans="1:24">
      <c r="A48" s="92"/>
      <c r="B48" s="2"/>
      <c r="C48" s="2"/>
      <c r="D48" s="2"/>
      <c r="E48" s="2"/>
      <c r="F48" s="2"/>
      <c r="G48" s="2"/>
      <c r="H48" s="2"/>
      <c r="I48" s="2"/>
      <c r="J48" s="2"/>
      <c r="K48" s="2"/>
      <c r="L48" s="2"/>
      <c r="M48" s="2"/>
      <c r="N48" s="2"/>
      <c r="O48" s="2"/>
      <c r="P48" s="2"/>
      <c r="Q48" s="2"/>
      <c r="R48" s="2"/>
      <c r="S48" s="2"/>
      <c r="T48" s="2"/>
      <c r="U48" s="2"/>
      <c r="V48" s="2"/>
      <c r="W48" s="2"/>
      <c r="X48" s="92"/>
    </row>
    <row r="49" spans="1:24">
      <c r="A49" s="92"/>
      <c r="B49" s="2"/>
      <c r="C49" s="2"/>
      <c r="D49" s="2"/>
      <c r="E49" s="2"/>
      <c r="F49" s="2"/>
      <c r="G49" s="2"/>
      <c r="H49" s="2"/>
      <c r="I49" s="2"/>
      <c r="J49" s="2"/>
      <c r="K49" s="2"/>
      <c r="L49" s="2"/>
      <c r="M49" s="2"/>
      <c r="N49" s="2"/>
      <c r="O49" s="2"/>
      <c r="P49" s="2"/>
      <c r="Q49" s="2"/>
      <c r="R49" s="2"/>
      <c r="S49" s="2"/>
      <c r="T49" s="2"/>
      <c r="U49" s="2"/>
      <c r="V49" s="2"/>
      <c r="W49" s="2"/>
      <c r="X49" s="92"/>
    </row>
    <row r="50" spans="1:24">
      <c r="A50" s="92"/>
      <c r="B50" s="2"/>
      <c r="C50" s="2"/>
      <c r="D50" s="2"/>
      <c r="E50" s="2"/>
      <c r="F50" s="2"/>
      <c r="G50" s="2"/>
      <c r="H50" s="2"/>
      <c r="I50" s="2"/>
      <c r="J50" s="2"/>
      <c r="K50" s="2"/>
      <c r="L50" s="2"/>
      <c r="M50" s="2"/>
      <c r="N50" s="2"/>
      <c r="O50" s="2"/>
      <c r="P50" s="2"/>
      <c r="Q50" s="2"/>
      <c r="R50" s="2"/>
      <c r="S50" s="2"/>
      <c r="T50" s="2"/>
      <c r="U50" s="2"/>
      <c r="V50" s="2"/>
      <c r="W50" s="2"/>
      <c r="X50" s="92"/>
    </row>
    <row r="51" spans="1:24">
      <c r="A51" s="92"/>
      <c r="B51" s="2"/>
      <c r="C51" s="2"/>
      <c r="D51" s="2"/>
      <c r="E51" s="2"/>
      <c r="F51" s="2"/>
      <c r="G51" s="2"/>
      <c r="H51" s="2"/>
      <c r="I51" s="2"/>
      <c r="J51" s="2"/>
      <c r="K51" s="2"/>
      <c r="L51" s="2"/>
      <c r="M51" s="2"/>
      <c r="N51" s="2"/>
      <c r="O51" s="2"/>
      <c r="P51" s="2"/>
      <c r="Q51" s="2"/>
      <c r="R51" s="2"/>
      <c r="S51" s="2"/>
      <c r="T51" s="2"/>
      <c r="U51" s="2"/>
      <c r="V51" s="2"/>
      <c r="W51" s="2"/>
      <c r="X51" s="92"/>
    </row>
    <row r="52" spans="1:24">
      <c r="A52" s="92"/>
      <c r="B52" s="2"/>
      <c r="C52" s="2"/>
      <c r="D52" s="2"/>
      <c r="E52" s="2"/>
      <c r="F52" s="2"/>
      <c r="G52" s="2"/>
      <c r="H52" s="2"/>
      <c r="I52" s="2"/>
      <c r="J52" s="2"/>
      <c r="K52" s="2"/>
      <c r="L52" s="2"/>
      <c r="M52" s="2"/>
      <c r="N52" s="2"/>
      <c r="O52" s="2"/>
      <c r="P52" s="2"/>
      <c r="Q52" s="2"/>
      <c r="R52" s="2"/>
      <c r="S52" s="2"/>
      <c r="T52" s="2"/>
      <c r="U52" s="2"/>
      <c r="V52" s="2"/>
      <c r="W52" s="2"/>
      <c r="X52" s="92"/>
    </row>
    <row r="53" spans="1:24">
      <c r="A53" s="92"/>
      <c r="B53" s="2"/>
      <c r="C53" s="2"/>
      <c r="D53" s="2"/>
      <c r="E53" s="2"/>
      <c r="F53" s="2"/>
      <c r="G53" s="2"/>
      <c r="H53" s="2"/>
      <c r="I53" s="2"/>
      <c r="J53" s="2"/>
      <c r="K53" s="2"/>
      <c r="L53" s="2"/>
      <c r="M53" s="2"/>
      <c r="N53" s="2"/>
      <c r="O53" s="2"/>
      <c r="P53" s="2"/>
      <c r="Q53" s="2"/>
      <c r="R53" s="2"/>
      <c r="S53" s="2"/>
      <c r="T53" s="2"/>
      <c r="U53" s="2"/>
      <c r="V53" s="2"/>
      <c r="W53" s="2"/>
      <c r="X53" s="92"/>
    </row>
    <row r="54" spans="1:24">
      <c r="A54" s="92"/>
      <c r="B54" s="2"/>
      <c r="C54" s="2"/>
      <c r="D54" s="2"/>
      <c r="E54" s="2"/>
      <c r="F54" s="2"/>
      <c r="G54" s="2"/>
      <c r="H54" s="2"/>
      <c r="I54" s="2"/>
      <c r="J54" s="2"/>
      <c r="K54" s="2"/>
      <c r="L54" s="2"/>
      <c r="M54" s="2"/>
      <c r="N54" s="2"/>
      <c r="O54" s="2"/>
      <c r="P54" s="2"/>
      <c r="Q54" s="2"/>
      <c r="R54" s="2"/>
      <c r="S54" s="2"/>
      <c r="T54" s="2"/>
      <c r="U54" s="2"/>
      <c r="V54" s="2"/>
      <c r="W54" s="2"/>
      <c r="X54" s="92"/>
    </row>
    <row r="55" spans="1:24">
      <c r="A55" s="92"/>
      <c r="B55" s="2"/>
      <c r="C55" s="2"/>
      <c r="D55" s="2"/>
      <c r="E55" s="2"/>
      <c r="F55" s="2"/>
      <c r="G55" s="2"/>
      <c r="H55" s="2"/>
      <c r="I55" s="2"/>
      <c r="J55" s="2"/>
      <c r="K55" s="2"/>
      <c r="L55" s="2"/>
      <c r="M55" s="2"/>
      <c r="N55" s="2"/>
      <c r="O55" s="2"/>
      <c r="P55" s="2"/>
      <c r="Q55" s="2"/>
      <c r="R55" s="2"/>
      <c r="S55" s="2"/>
      <c r="T55" s="2"/>
      <c r="U55" s="2"/>
      <c r="V55" s="2"/>
      <c r="W55" s="2"/>
      <c r="X55" s="92"/>
    </row>
    <row r="56" spans="1:24">
      <c r="A56" s="92"/>
      <c r="B56" s="2"/>
      <c r="C56" s="2"/>
      <c r="D56" s="2"/>
      <c r="E56" s="2"/>
      <c r="F56" s="2"/>
      <c r="G56" s="2"/>
      <c r="H56" s="2"/>
      <c r="I56" s="2"/>
      <c r="J56" s="2"/>
      <c r="K56" s="2"/>
      <c r="L56" s="2"/>
      <c r="M56" s="2"/>
      <c r="N56" s="2"/>
      <c r="O56" s="2"/>
      <c r="P56" s="2"/>
      <c r="Q56" s="2"/>
      <c r="R56" s="2"/>
      <c r="S56" s="2"/>
      <c r="T56" s="2"/>
      <c r="U56" s="2"/>
      <c r="V56" s="2"/>
      <c r="W56" s="2"/>
      <c r="X56" s="92"/>
    </row>
    <row r="57" spans="1:24">
      <c r="A57" s="92"/>
      <c r="B57" s="2"/>
      <c r="C57" s="2"/>
      <c r="D57" s="2"/>
      <c r="E57" s="2"/>
      <c r="F57" s="2"/>
      <c r="G57" s="2"/>
      <c r="H57" s="2"/>
      <c r="I57" s="2"/>
      <c r="J57" s="2"/>
      <c r="K57" s="2"/>
      <c r="L57" s="2"/>
      <c r="M57" s="2"/>
      <c r="N57" s="2"/>
      <c r="O57" s="2"/>
      <c r="P57" s="2"/>
      <c r="Q57" s="2"/>
      <c r="R57" s="2"/>
      <c r="S57" s="2"/>
      <c r="T57" s="2"/>
      <c r="U57" s="2"/>
      <c r="V57" s="2"/>
      <c r="W57" s="2"/>
      <c r="X57" s="92"/>
    </row>
    <row r="58" spans="1:24">
      <c r="A58" s="92"/>
      <c r="B58" s="2"/>
      <c r="C58" s="2"/>
      <c r="D58" s="2"/>
      <c r="E58" s="2"/>
      <c r="F58" s="2"/>
      <c r="G58" s="2"/>
      <c r="H58" s="2"/>
      <c r="I58" s="2"/>
      <c r="J58" s="2"/>
      <c r="K58" s="2"/>
      <c r="L58" s="2"/>
      <c r="M58" s="2"/>
      <c r="N58" s="2"/>
      <c r="O58" s="2"/>
      <c r="P58" s="2"/>
      <c r="Q58" s="2"/>
      <c r="R58" s="2"/>
      <c r="S58" s="2"/>
      <c r="T58" s="2"/>
      <c r="U58" s="2"/>
      <c r="V58" s="2"/>
      <c r="W58" s="2"/>
      <c r="X58" s="92"/>
    </row>
    <row r="59" spans="1:24">
      <c r="A59" s="92"/>
      <c r="B59" s="2"/>
      <c r="C59" s="2"/>
      <c r="D59" s="2"/>
      <c r="E59" s="2"/>
      <c r="F59" s="2"/>
      <c r="G59" s="2"/>
      <c r="H59" s="2"/>
      <c r="I59" s="2"/>
      <c r="J59" s="2"/>
      <c r="K59" s="2"/>
      <c r="L59" s="2"/>
      <c r="M59" s="2"/>
      <c r="N59" s="2"/>
      <c r="O59" s="2"/>
      <c r="P59" s="2"/>
      <c r="Q59" s="2"/>
      <c r="R59" s="2"/>
      <c r="S59" s="2"/>
      <c r="T59" s="2"/>
      <c r="U59" s="2"/>
      <c r="V59" s="2"/>
      <c r="W59" s="2"/>
      <c r="X59" s="92"/>
    </row>
    <row r="60" spans="1:24">
      <c r="A60" s="92"/>
      <c r="B60" s="2"/>
      <c r="C60" s="2"/>
      <c r="D60" s="2"/>
      <c r="E60" s="2"/>
      <c r="F60" s="2"/>
      <c r="G60" s="2"/>
      <c r="H60" s="2"/>
      <c r="I60" s="2"/>
      <c r="J60" s="2"/>
      <c r="K60" s="2"/>
      <c r="L60" s="2"/>
      <c r="M60" s="2"/>
      <c r="N60" s="2"/>
      <c r="O60" s="2"/>
      <c r="P60" s="2"/>
      <c r="Q60" s="2"/>
      <c r="R60" s="2"/>
      <c r="S60" s="2"/>
      <c r="T60" s="2"/>
      <c r="U60" s="2"/>
      <c r="V60" s="2"/>
      <c r="W60" s="2"/>
      <c r="X60" s="92"/>
    </row>
    <row r="61" spans="1:24">
      <c r="A61" s="92"/>
      <c r="B61" s="2"/>
      <c r="C61" s="2"/>
      <c r="D61" s="2"/>
      <c r="E61" s="2"/>
      <c r="F61" s="2"/>
      <c r="G61" s="2"/>
      <c r="H61" s="2"/>
      <c r="I61" s="2"/>
      <c r="J61" s="2"/>
      <c r="K61" s="2"/>
      <c r="L61" s="2"/>
      <c r="M61" s="2"/>
      <c r="N61" s="2"/>
      <c r="O61" s="2"/>
      <c r="P61" s="2"/>
      <c r="Q61" s="2"/>
      <c r="R61" s="2"/>
      <c r="S61" s="2"/>
      <c r="T61" s="2"/>
      <c r="U61" s="2"/>
      <c r="V61" s="2"/>
      <c r="W61" s="2"/>
      <c r="X61" s="92"/>
    </row>
    <row r="62" spans="1:24">
      <c r="A62" s="92"/>
      <c r="B62" s="2"/>
      <c r="C62" s="2"/>
      <c r="D62" s="2"/>
      <c r="E62" s="2"/>
      <c r="F62" s="2"/>
      <c r="G62" s="2"/>
      <c r="H62" s="2"/>
      <c r="I62" s="2"/>
      <c r="J62" s="2"/>
      <c r="K62" s="2"/>
      <c r="L62" s="2"/>
      <c r="M62" s="2"/>
      <c r="N62" s="2"/>
      <c r="O62" s="2"/>
      <c r="P62" s="2"/>
      <c r="Q62" s="2"/>
      <c r="R62" s="2"/>
      <c r="S62" s="2"/>
      <c r="T62" s="2"/>
      <c r="U62" s="2"/>
      <c r="V62" s="2"/>
      <c r="W62" s="2"/>
      <c r="X62" s="92"/>
    </row>
    <row r="63" spans="1:24">
      <c r="A63" s="92"/>
      <c r="B63" s="2"/>
      <c r="C63" s="2"/>
      <c r="D63" s="2"/>
      <c r="E63" s="2"/>
      <c r="F63" s="2"/>
      <c r="G63" s="2"/>
      <c r="H63" s="2"/>
      <c r="I63" s="2"/>
      <c r="J63" s="2"/>
      <c r="K63" s="2"/>
      <c r="L63" s="2"/>
      <c r="M63" s="2"/>
      <c r="N63" s="2"/>
      <c r="O63" s="2"/>
      <c r="P63" s="2"/>
      <c r="Q63" s="2"/>
      <c r="R63" s="2"/>
      <c r="S63" s="2"/>
      <c r="T63" s="2"/>
      <c r="U63" s="2"/>
      <c r="V63" s="2"/>
      <c r="W63" s="2"/>
      <c r="X63" s="92"/>
    </row>
    <row r="64" spans="1:24">
      <c r="A64" s="92"/>
      <c r="B64" s="2"/>
      <c r="C64" s="2"/>
      <c r="D64" s="2"/>
      <c r="E64" s="2"/>
      <c r="F64" s="2"/>
      <c r="G64" s="2"/>
      <c r="H64" s="2"/>
      <c r="I64" s="2"/>
      <c r="J64" s="2"/>
      <c r="K64" s="2"/>
      <c r="L64" s="2"/>
      <c r="M64" s="2"/>
      <c r="N64" s="2"/>
      <c r="O64" s="2"/>
      <c r="P64" s="2"/>
      <c r="Q64" s="2"/>
      <c r="R64" s="2"/>
      <c r="S64" s="2"/>
      <c r="T64" s="2"/>
      <c r="U64" s="2"/>
      <c r="V64" s="2"/>
      <c r="W64" s="2"/>
      <c r="X64" s="92"/>
    </row>
    <row r="65" spans="1:24">
      <c r="A65" s="92"/>
      <c r="B65" s="2"/>
      <c r="C65" s="2"/>
      <c r="D65" s="2"/>
      <c r="E65" s="2"/>
      <c r="F65" s="2"/>
      <c r="G65" s="2"/>
      <c r="H65" s="2"/>
      <c r="I65" s="2"/>
      <c r="J65" s="2"/>
      <c r="K65" s="2"/>
      <c r="L65" s="2"/>
      <c r="M65" s="2"/>
      <c r="N65" s="2"/>
      <c r="O65" s="2"/>
      <c r="P65" s="2"/>
      <c r="Q65" s="2"/>
      <c r="R65" s="2"/>
      <c r="S65" s="2"/>
      <c r="T65" s="2"/>
      <c r="U65" s="2"/>
      <c r="V65" s="2"/>
      <c r="W65" s="2"/>
      <c r="X65" s="92"/>
    </row>
    <row r="66" spans="1:24">
      <c r="A66" s="92"/>
      <c r="B66" s="2"/>
      <c r="C66" s="2"/>
      <c r="D66" s="2"/>
      <c r="E66" s="2"/>
      <c r="F66" s="2"/>
      <c r="G66" s="2"/>
      <c r="H66" s="2"/>
      <c r="I66" s="2"/>
      <c r="J66" s="2"/>
      <c r="K66" s="2"/>
      <c r="L66" s="2"/>
      <c r="M66" s="2"/>
      <c r="N66" s="2"/>
      <c r="O66" s="2"/>
      <c r="P66" s="2"/>
      <c r="Q66" s="2"/>
      <c r="R66" s="2"/>
      <c r="S66" s="2"/>
      <c r="T66" s="2"/>
      <c r="U66" s="2"/>
      <c r="V66" s="2"/>
      <c r="W66" s="2"/>
      <c r="X66" s="92"/>
    </row>
    <row r="67" spans="1:24">
      <c r="A67" s="92"/>
      <c r="B67" s="2"/>
      <c r="C67" s="2"/>
      <c r="D67" s="2"/>
      <c r="E67" s="2"/>
      <c r="F67" s="2"/>
      <c r="G67" s="2"/>
      <c r="H67" s="2"/>
      <c r="I67" s="2"/>
      <c r="J67" s="2"/>
      <c r="K67" s="2"/>
      <c r="L67" s="2"/>
      <c r="M67" s="2"/>
      <c r="N67" s="2"/>
      <c r="O67" s="2"/>
      <c r="P67" s="2"/>
      <c r="Q67" s="2"/>
      <c r="R67" s="2"/>
      <c r="S67" s="2"/>
      <c r="T67" s="2"/>
      <c r="U67" s="2"/>
      <c r="V67" s="2"/>
      <c r="W67" s="2"/>
      <c r="X67" s="92"/>
    </row>
    <row r="68" spans="1:24">
      <c r="A68" s="92"/>
      <c r="B68" s="2"/>
      <c r="C68" s="2"/>
      <c r="D68" s="2"/>
      <c r="E68" s="2"/>
      <c r="F68" s="2"/>
      <c r="G68" s="2"/>
      <c r="H68" s="2"/>
      <c r="I68" s="2"/>
      <c r="J68" s="2"/>
      <c r="K68" s="2"/>
      <c r="L68" s="2"/>
      <c r="M68" s="2"/>
      <c r="N68" s="2"/>
      <c r="O68" s="2"/>
      <c r="P68" s="2"/>
      <c r="Q68" s="2"/>
      <c r="R68" s="2"/>
      <c r="S68" s="2"/>
      <c r="T68" s="2"/>
      <c r="U68" s="2"/>
      <c r="V68" s="2"/>
      <c r="W68" s="2"/>
      <c r="X68" s="92"/>
    </row>
    <row r="69" spans="1:24">
      <c r="A69" s="92"/>
      <c r="B69" s="1"/>
      <c r="C69" s="1"/>
      <c r="D69" s="1"/>
      <c r="E69" s="1"/>
      <c r="F69" s="1"/>
      <c r="G69" s="1"/>
      <c r="H69" s="1"/>
      <c r="I69" s="1"/>
      <c r="J69" s="1"/>
      <c r="K69" s="1"/>
      <c r="L69" s="1"/>
      <c r="M69" s="1"/>
      <c r="N69" s="1"/>
      <c r="O69" s="1"/>
      <c r="P69" s="1"/>
      <c r="Q69" s="1"/>
      <c r="R69" s="1"/>
      <c r="S69" s="1"/>
      <c r="T69" s="1"/>
      <c r="U69" s="1"/>
      <c r="V69" s="1"/>
      <c r="W69" s="1"/>
      <c r="X69" s="92"/>
    </row>
    <row r="70" spans="1:24">
      <c r="A70" s="92"/>
      <c r="B70" s="1"/>
      <c r="C70" s="1"/>
      <c r="D70" s="1"/>
      <c r="E70" s="1"/>
      <c r="F70" s="1"/>
      <c r="G70" s="1"/>
      <c r="H70" s="1"/>
      <c r="I70" s="1"/>
      <c r="J70" s="1"/>
      <c r="K70" s="1"/>
      <c r="L70" s="1"/>
      <c r="M70" s="1"/>
      <c r="N70" s="1"/>
      <c r="O70" s="1"/>
      <c r="P70" s="1"/>
      <c r="Q70" s="1"/>
      <c r="R70" s="1"/>
      <c r="S70" s="1"/>
      <c r="T70" s="1"/>
      <c r="U70" s="1"/>
      <c r="V70" s="1"/>
      <c r="W70" s="1"/>
      <c r="X70" s="92"/>
    </row>
    <row r="71" spans="1:24">
      <c r="A71" s="92"/>
      <c r="B71" s="1"/>
      <c r="C71" s="1"/>
      <c r="D71" s="1"/>
      <c r="E71" s="1"/>
      <c r="F71" s="1"/>
      <c r="G71" s="1"/>
      <c r="H71" s="1"/>
      <c r="I71" s="1"/>
      <c r="J71" s="1"/>
      <c r="K71" s="1"/>
      <c r="L71" s="1"/>
      <c r="M71" s="1"/>
      <c r="N71" s="1"/>
      <c r="O71" s="1"/>
      <c r="P71" s="1"/>
      <c r="Q71" s="1"/>
      <c r="R71" s="1"/>
      <c r="S71" s="1"/>
      <c r="T71" s="1"/>
      <c r="U71" s="1"/>
      <c r="V71" s="1"/>
      <c r="W71" s="1"/>
      <c r="X71" s="92"/>
    </row>
    <row r="72" spans="1:24">
      <c r="A72" s="92"/>
      <c r="B72" s="18"/>
      <c r="C72" s="18"/>
      <c r="D72" s="18"/>
      <c r="E72" s="18"/>
      <c r="F72" s="18"/>
      <c r="G72" s="18"/>
      <c r="H72" s="18"/>
      <c r="I72" s="18"/>
      <c r="J72" s="18"/>
      <c r="K72" s="18"/>
      <c r="L72" s="18"/>
      <c r="M72" s="18"/>
      <c r="N72" s="18"/>
      <c r="O72" s="92"/>
      <c r="P72" s="92"/>
      <c r="Q72" s="92"/>
      <c r="R72" s="92"/>
      <c r="S72" s="92"/>
      <c r="T72" s="92"/>
      <c r="U72" s="92"/>
      <c r="V72" s="92"/>
      <c r="W72" s="92"/>
      <c r="X72" s="92"/>
    </row>
  </sheetData>
  <sheetProtection algorithmName="SHA-512" hashValue="t3v/0OtcuSeugm+ILdTSKu2r3OYLkua+ARR95LjvZe4czzIL8En0hsZsY9+qguSjU0FeM81+MkET8KC9Lrw2uw==" saltValue="bLM14nyyqF0yZAFuthUQ5g==" spinCount="100000" sheet="1" objects="1" scenarios="1"/>
  <mergeCells count="4">
    <mergeCell ref="B11:G11"/>
    <mergeCell ref="I11:S11"/>
    <mergeCell ref="B9:G9"/>
    <mergeCell ref="I9:S9"/>
  </mergeCells>
  <printOptions gridLines="1"/>
  <pageMargins left="0" right="0" top="0" bottom="0" header="0.3" footer="0.3"/>
  <pageSetup scale="43" fitToHeight="0"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1DD32A-5E4D-49AE-B48E-1149EC498014}">
  <sheetPr codeName="Sheet9">
    <tabColor theme="4" tint="-0.249977111117893"/>
  </sheetPr>
  <dimension ref="B1:BX55"/>
  <sheetViews>
    <sheetView topLeftCell="AK3" workbookViewId="0">
      <selection activeCell="AN3" sqref="AN3"/>
    </sheetView>
  </sheetViews>
  <sheetFormatPr defaultRowHeight="15"/>
  <cols>
    <col min="1" max="1" width="2.5703125" customWidth="1"/>
    <col min="2" max="2" width="11.42578125" customWidth="1"/>
    <col min="3" max="3" width="12.42578125" customWidth="1"/>
    <col min="4" max="4" width="13.28515625" bestFit="1" customWidth="1"/>
    <col min="43" max="43" width="13.28515625" bestFit="1" customWidth="1"/>
  </cols>
  <sheetData>
    <row r="1" spans="2:76">
      <c r="AR1" s="301"/>
      <c r="AS1" s="301"/>
      <c r="AT1" s="301"/>
      <c r="AU1" s="301"/>
      <c r="AV1" s="301"/>
      <c r="AW1" s="301"/>
      <c r="AX1" s="301"/>
      <c r="AY1" s="301"/>
      <c r="AZ1" s="301"/>
      <c r="BA1" s="301"/>
      <c r="BB1" s="301"/>
      <c r="BC1" s="301"/>
      <c r="BD1" s="301"/>
      <c r="BF1" s="301"/>
      <c r="BG1" s="301"/>
      <c r="BH1" s="301"/>
      <c r="BI1" s="301"/>
      <c r="BJ1" s="301"/>
      <c r="BK1" s="301"/>
      <c r="BL1" s="301"/>
      <c r="BM1" s="14"/>
      <c r="BN1" s="14" t="s">
        <v>617</v>
      </c>
      <c r="BO1" s="14" t="s">
        <v>617</v>
      </c>
      <c r="BQ1" s="301"/>
      <c r="BR1" s="301"/>
      <c r="BS1" s="301"/>
      <c r="BT1" s="301"/>
      <c r="BU1" s="301"/>
    </row>
    <row r="2" spans="2:76">
      <c r="B2" t="s">
        <v>664</v>
      </c>
      <c r="AR2" s="302" t="s">
        <v>618</v>
      </c>
      <c r="AS2" s="302" t="s">
        <v>618</v>
      </c>
      <c r="AT2" s="302" t="s">
        <v>618</v>
      </c>
      <c r="AU2" s="302" t="s">
        <v>618</v>
      </c>
      <c r="AV2" s="303" t="s">
        <v>612</v>
      </c>
      <c r="AW2" s="302" t="s">
        <v>618</v>
      </c>
      <c r="AX2" s="303" t="s">
        <v>612</v>
      </c>
      <c r="AY2" s="303" t="s">
        <v>612</v>
      </c>
      <c r="AZ2" s="303" t="s">
        <v>612</v>
      </c>
      <c r="BA2" s="303" t="s">
        <v>612</v>
      </c>
      <c r="BB2" s="303" t="s">
        <v>612</v>
      </c>
      <c r="BC2" s="302" t="s">
        <v>618</v>
      </c>
      <c r="BD2" s="303" t="s">
        <v>612</v>
      </c>
      <c r="BF2" s="303" t="s">
        <v>612</v>
      </c>
      <c r="BG2" s="303" t="s">
        <v>612</v>
      </c>
      <c r="BH2" s="302" t="s">
        <v>618</v>
      </c>
      <c r="BI2" s="302" t="s">
        <v>618</v>
      </c>
      <c r="BJ2" s="303" t="s">
        <v>612</v>
      </c>
      <c r="BK2" s="303" t="s">
        <v>612</v>
      </c>
      <c r="BL2" s="303" t="s">
        <v>612</v>
      </c>
      <c r="BM2" s="303" t="s">
        <v>612</v>
      </c>
      <c r="BN2" s="303" t="s">
        <v>612</v>
      </c>
      <c r="BO2" s="303" t="s">
        <v>612</v>
      </c>
      <c r="BQ2" s="302" t="s">
        <v>618</v>
      </c>
      <c r="BR2" s="302" t="s">
        <v>618</v>
      </c>
      <c r="BS2" s="302" t="s">
        <v>618</v>
      </c>
      <c r="BT2" s="303" t="s">
        <v>612</v>
      </c>
      <c r="BU2" s="302" t="s">
        <v>618</v>
      </c>
      <c r="BV2" s="302" t="s">
        <v>618</v>
      </c>
      <c r="BW2" s="302" t="s">
        <v>618</v>
      </c>
      <c r="BX2" s="302" t="s">
        <v>618</v>
      </c>
    </row>
    <row r="3" spans="2:76" ht="168">
      <c r="B3" s="13">
        <v>45922</v>
      </c>
      <c r="C3" s="196"/>
      <c r="AR3" s="304" t="s">
        <v>49</v>
      </c>
      <c r="AS3" s="305" t="s">
        <v>54</v>
      </c>
      <c r="AT3" s="306" t="s">
        <v>96</v>
      </c>
      <c r="AU3" s="307" t="s">
        <v>141</v>
      </c>
      <c r="AV3" s="305" t="s">
        <v>619</v>
      </c>
      <c r="AW3" s="305" t="s">
        <v>620</v>
      </c>
      <c r="AX3" s="308" t="s">
        <v>207</v>
      </c>
      <c r="AY3" s="308" t="s">
        <v>209</v>
      </c>
      <c r="AZ3" s="309" t="s">
        <v>621</v>
      </c>
      <c r="BA3" s="310" t="s">
        <v>622</v>
      </c>
      <c r="BB3" s="305" t="s">
        <v>623</v>
      </c>
      <c r="BC3" s="305" t="s">
        <v>624</v>
      </c>
      <c r="BD3" s="305" t="s">
        <v>207</v>
      </c>
      <c r="BE3" s="311"/>
      <c r="BF3" s="306" t="s">
        <v>625</v>
      </c>
      <c r="BG3" s="306" t="s">
        <v>626</v>
      </c>
      <c r="BH3" s="306" t="s">
        <v>627</v>
      </c>
      <c r="BI3" s="306" t="s">
        <v>628</v>
      </c>
      <c r="BJ3" s="306" t="s">
        <v>629</v>
      </c>
      <c r="BK3" s="306" t="s">
        <v>236</v>
      </c>
      <c r="BL3" s="306" t="s">
        <v>238</v>
      </c>
      <c r="BM3" s="306" t="s">
        <v>241</v>
      </c>
      <c r="BN3" s="306" t="s">
        <v>244</v>
      </c>
      <c r="BO3" s="306" t="s">
        <v>630</v>
      </c>
      <c r="BP3" s="311"/>
      <c r="BQ3" s="306" t="s">
        <v>627</v>
      </c>
      <c r="BR3" s="306" t="s">
        <v>628</v>
      </c>
      <c r="BS3" s="306" t="s">
        <v>253</v>
      </c>
      <c r="BT3" s="306" t="s">
        <v>255</v>
      </c>
      <c r="BU3" s="306" t="s">
        <v>258</v>
      </c>
      <c r="BV3" s="307" t="s">
        <v>261</v>
      </c>
      <c r="BW3" s="307" t="s">
        <v>263</v>
      </c>
      <c r="BX3" s="307" t="s">
        <v>265</v>
      </c>
    </row>
    <row r="4" spans="2:76">
      <c r="C4" s="13"/>
      <c r="D4" t="s">
        <v>614</v>
      </c>
      <c r="AQ4" t="s">
        <v>614</v>
      </c>
      <c r="AR4" t="s">
        <v>631</v>
      </c>
      <c r="AS4" t="s">
        <v>632</v>
      </c>
      <c r="AT4" t="s">
        <v>633</v>
      </c>
      <c r="AU4" t="s">
        <v>634</v>
      </c>
      <c r="AV4" t="s">
        <v>204</v>
      </c>
      <c r="AW4" t="s">
        <v>652</v>
      </c>
      <c r="AX4" t="s">
        <v>208</v>
      </c>
      <c r="AY4" t="s">
        <v>210</v>
      </c>
      <c r="AZ4" t="s">
        <v>212</v>
      </c>
      <c r="BA4" t="s">
        <v>214</v>
      </c>
      <c r="BB4" t="s">
        <v>217</v>
      </c>
      <c r="BC4" t="s">
        <v>635</v>
      </c>
      <c r="BD4" t="s">
        <v>220</v>
      </c>
      <c r="BF4" t="s">
        <v>227</v>
      </c>
      <c r="BG4" t="s">
        <v>229</v>
      </c>
      <c r="BH4" t="s">
        <v>636</v>
      </c>
      <c r="BI4" t="s">
        <v>637</v>
      </c>
      <c r="BJ4" t="s">
        <v>638</v>
      </c>
      <c r="BK4" t="s">
        <v>237</v>
      </c>
      <c r="BL4" t="s">
        <v>239</v>
      </c>
      <c r="BM4" t="s">
        <v>639</v>
      </c>
      <c r="BN4" t="s">
        <v>245</v>
      </c>
      <c r="BO4" s="14" t="s">
        <v>640</v>
      </c>
      <c r="BQ4" t="s">
        <v>641</v>
      </c>
      <c r="BR4" t="s">
        <v>642</v>
      </c>
      <c r="BS4" t="s">
        <v>643</v>
      </c>
      <c r="BT4" t="s">
        <v>256</v>
      </c>
      <c r="BU4" t="s">
        <v>644</v>
      </c>
      <c r="BV4" t="s">
        <v>645</v>
      </c>
      <c r="BW4" t="s">
        <v>646</v>
      </c>
      <c r="BX4" t="s">
        <v>647</v>
      </c>
    </row>
    <row r="5" spans="2:76">
      <c r="C5" s="13"/>
      <c r="D5" t="s">
        <v>562</v>
      </c>
      <c r="AQ5" t="s">
        <v>562</v>
      </c>
      <c r="AR5" t="s">
        <v>648</v>
      </c>
      <c r="AS5" t="s">
        <v>649</v>
      </c>
      <c r="AT5" t="s">
        <v>650</v>
      </c>
      <c r="AU5" t="s">
        <v>651</v>
      </c>
      <c r="AV5" t="s">
        <v>204</v>
      </c>
      <c r="AW5" s="312" t="s">
        <v>652</v>
      </c>
      <c r="AX5" t="s">
        <v>208</v>
      </c>
      <c r="AY5" t="s">
        <v>210</v>
      </c>
      <c r="AZ5" t="s">
        <v>212</v>
      </c>
      <c r="BA5" t="s">
        <v>214</v>
      </c>
      <c r="BB5" t="s">
        <v>217</v>
      </c>
      <c r="BC5" t="s">
        <v>653</v>
      </c>
      <c r="BD5" t="s">
        <v>220</v>
      </c>
      <c r="BF5" t="s">
        <v>227</v>
      </c>
      <c r="BG5" t="s">
        <v>229</v>
      </c>
      <c r="BH5" t="s">
        <v>654</v>
      </c>
      <c r="BI5" t="s">
        <v>655</v>
      </c>
      <c r="BJ5" t="s">
        <v>638</v>
      </c>
      <c r="BL5" t="s">
        <v>239</v>
      </c>
      <c r="BM5" t="s">
        <v>639</v>
      </c>
      <c r="BN5" s="14" t="s">
        <v>656</v>
      </c>
      <c r="BO5" s="14" t="s">
        <v>656</v>
      </c>
      <c r="BQ5" s="14" t="s">
        <v>657</v>
      </c>
      <c r="BR5" s="14" t="s">
        <v>658</v>
      </c>
      <c r="BS5" t="s">
        <v>659</v>
      </c>
      <c r="BT5" t="s">
        <v>256</v>
      </c>
      <c r="BU5" t="s">
        <v>660</v>
      </c>
      <c r="BV5" t="s">
        <v>661</v>
      </c>
      <c r="BW5" t="s">
        <v>662</v>
      </c>
      <c r="BX5" t="s">
        <v>663</v>
      </c>
    </row>
    <row r="6" spans="2:76">
      <c r="C6" s="13"/>
    </row>
    <row r="7" spans="2:76">
      <c r="C7" s="13"/>
      <c r="BN7" s="14" t="s">
        <v>665</v>
      </c>
      <c r="BO7" s="14" t="s">
        <v>666</v>
      </c>
      <c r="BQ7" s="14" t="s">
        <v>667</v>
      </c>
    </row>
    <row r="8" spans="2:76">
      <c r="C8" s="13"/>
    </row>
    <row r="9" spans="2:76">
      <c r="C9" s="13"/>
    </row>
    <row r="10" spans="2:76">
      <c r="C10" s="13"/>
      <c r="BM10" t="s">
        <v>668</v>
      </c>
    </row>
    <row r="11" spans="2:76">
      <c r="C11" s="13"/>
    </row>
    <row r="12" spans="2:76">
      <c r="C12" s="13"/>
    </row>
    <row r="13" spans="2:76">
      <c r="C13" s="13"/>
    </row>
    <row r="14" spans="2:76">
      <c r="C14" s="13"/>
    </row>
    <row r="15" spans="2:76">
      <c r="C15" s="13"/>
    </row>
    <row r="16" spans="2:76">
      <c r="C16" s="13"/>
    </row>
    <row r="17" spans="3:3">
      <c r="C17" s="13"/>
    </row>
    <row r="18" spans="3:3">
      <c r="C18" s="13"/>
    </row>
    <row r="19" spans="3:3">
      <c r="C19" s="13"/>
    </row>
    <row r="20" spans="3:3">
      <c r="C20" s="13"/>
    </row>
    <row r="21" spans="3:3">
      <c r="C21" s="13"/>
    </row>
    <row r="22" spans="3:3">
      <c r="C22" s="13"/>
    </row>
    <row r="23" spans="3:3">
      <c r="C23" s="13"/>
    </row>
    <row r="24" spans="3:3">
      <c r="C24" s="13"/>
    </row>
    <row r="25" spans="3:3">
      <c r="C25" s="13"/>
    </row>
    <row r="26" spans="3:3">
      <c r="C26" s="13"/>
    </row>
    <row r="27" spans="3:3">
      <c r="C27" s="13"/>
    </row>
    <row r="28" spans="3:3">
      <c r="C28" s="13"/>
    </row>
    <row r="29" spans="3:3">
      <c r="C29" s="13"/>
    </row>
    <row r="30" spans="3:3">
      <c r="C30" s="13"/>
    </row>
    <row r="31" spans="3:3">
      <c r="C31" s="13"/>
    </row>
    <row r="32" spans="3:3">
      <c r="C32" s="13"/>
    </row>
    <row r="33" spans="3:3">
      <c r="C33" s="13"/>
    </row>
    <row r="34" spans="3:3">
      <c r="C34" s="13"/>
    </row>
    <row r="35" spans="3:3">
      <c r="C35" s="13"/>
    </row>
    <row r="36" spans="3:3">
      <c r="C36" s="13"/>
    </row>
    <row r="37" spans="3:3">
      <c r="C37" s="13"/>
    </row>
    <row r="38" spans="3:3">
      <c r="C38" s="13"/>
    </row>
    <row r="39" spans="3:3">
      <c r="C39" s="13"/>
    </row>
    <row r="40" spans="3:3">
      <c r="C40" s="13"/>
    </row>
    <row r="41" spans="3:3">
      <c r="C41" s="13"/>
    </row>
    <row r="42" spans="3:3">
      <c r="C42" s="13"/>
    </row>
    <row r="43" spans="3:3">
      <c r="C43" s="13"/>
    </row>
    <row r="44" spans="3:3">
      <c r="C44" s="13"/>
    </row>
    <row r="45" spans="3:3">
      <c r="C45" s="13"/>
    </row>
    <row r="46" spans="3:3">
      <c r="C46" s="13"/>
    </row>
    <row r="47" spans="3:3">
      <c r="C47" s="13"/>
    </row>
    <row r="48" spans="3:3">
      <c r="C48" s="13"/>
    </row>
    <row r="49" spans="3:3">
      <c r="C49" s="13"/>
    </row>
    <row r="50" spans="3:3">
      <c r="C50" s="13"/>
    </row>
    <row r="51" spans="3:3">
      <c r="C51" s="13"/>
    </row>
    <row r="52" spans="3:3">
      <c r="C52" s="13"/>
    </row>
    <row r="53" spans="3:3">
      <c r="C53" s="13"/>
    </row>
    <row r="54" spans="3:3">
      <c r="C54" s="13"/>
    </row>
    <row r="55" spans="3:3">
      <c r="C55" s="13"/>
    </row>
  </sheetData>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D03875-81EC-400E-B49D-B38D03DED7A3}">
  <sheetPr>
    <tabColor theme="4" tint="0.39997558519241921"/>
  </sheetPr>
  <dimension ref="A1:O28"/>
  <sheetViews>
    <sheetView workbookViewId="0">
      <selection activeCell="A2" sqref="A2"/>
    </sheetView>
  </sheetViews>
  <sheetFormatPr defaultRowHeight="15"/>
  <cols>
    <col min="1" max="1" width="25.28515625" customWidth="1"/>
    <col min="12" max="12" width="29.5703125" customWidth="1"/>
    <col min="14" max="14" width="10.5703125" bestFit="1" customWidth="1"/>
  </cols>
  <sheetData>
    <row r="1" spans="1:12">
      <c r="A1" s="14" t="s">
        <v>276</v>
      </c>
      <c r="L1" t="s">
        <v>277</v>
      </c>
    </row>
    <row r="2" spans="1:12">
      <c r="A2" t="s">
        <v>37</v>
      </c>
      <c r="L2" s="13"/>
    </row>
    <row r="3" spans="1:12">
      <c r="A3" t="s">
        <v>275</v>
      </c>
      <c r="L3" s="13">
        <v>45922</v>
      </c>
    </row>
    <row r="25" spans="14:15">
      <c r="N25" s="111"/>
    </row>
    <row r="27" spans="14:15">
      <c r="N27" s="112"/>
      <c r="O27" s="13"/>
    </row>
    <row r="28" spans="14:15">
      <c r="O28" s="113"/>
    </row>
  </sheetData>
  <autoFilter ref="A1:P67" xr:uid="{4ED03875-81EC-400E-B49D-B38D03DED7A3}"/>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6946F40D43BA141AA60615A9E73118A" ma:contentTypeVersion="13" ma:contentTypeDescription="Create a new document." ma:contentTypeScope="" ma:versionID="cc4febd34034e2dcbbf7f7f1264be155">
  <xsd:schema xmlns:xsd="http://www.w3.org/2001/XMLSchema" xmlns:xs="http://www.w3.org/2001/XMLSchema" xmlns:p="http://schemas.microsoft.com/office/2006/metadata/properties" xmlns:ns2="8a4a5796-092a-4a1b-89d3-71cf1ba6cb35" xmlns:ns3="935dbf3f-554c-4544-a470-482eb3f71ce6" targetNamespace="http://schemas.microsoft.com/office/2006/metadata/properties" ma:root="true" ma:fieldsID="29c7cb3a833535296f712087d65d2c8c" ns2:_="" ns3:_="">
    <xsd:import namespace="8a4a5796-092a-4a1b-89d3-71cf1ba6cb35"/>
    <xsd:import namespace="935dbf3f-554c-4544-a470-482eb3f71ce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ObjectDetectorVersions" minOccurs="0"/>
                <xsd:element ref="ns2:MediaServiceSearchPropertie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4a5796-092a-4a1b-89d3-71cf1ba6cb3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76f79bde-b34b-4e33-a562-f79c102b9a25"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35dbf3f-554c-4544-a470-482eb3f71ce6"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1ce3b374-02f1-4529-8182-3c3d4264feb4}" ma:internalName="TaxCatchAll" ma:showField="CatchAllData" ma:web="935dbf3f-554c-4544-a470-482eb3f71ce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935dbf3f-554c-4544-a470-482eb3f71ce6" xsi:nil="true"/>
    <lcf76f155ced4ddcb4097134ff3c332f xmlns="8a4a5796-092a-4a1b-89d3-71cf1ba6cb35">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0DA1BF2F-8A6B-412A-AAE2-066113D1FEF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a4a5796-092a-4a1b-89d3-71cf1ba6cb35"/>
    <ds:schemaRef ds:uri="935dbf3f-554c-4544-a470-482eb3f71ce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E74D0E7-D197-4DA7-8185-ADC3C92C211D}">
  <ds:schemaRefs>
    <ds:schemaRef ds:uri="http://schemas.microsoft.com/sharepoint/v3/contenttype/forms"/>
  </ds:schemaRefs>
</ds:datastoreItem>
</file>

<file path=customXml/itemProps3.xml><?xml version="1.0" encoding="utf-8"?>
<ds:datastoreItem xmlns:ds="http://schemas.openxmlformats.org/officeDocument/2006/customXml" ds:itemID="{CBEBCA7F-5947-4D7E-8FDD-02E83B7332A4}">
  <ds:schemaRefs>
    <ds:schemaRef ds:uri="8a4a5796-092a-4a1b-89d3-71cf1ba6cb35"/>
    <ds:schemaRef ds:uri="935dbf3f-554c-4544-a470-482eb3f71ce6"/>
    <ds:schemaRef ds:uri="http://purl.org/dc/elements/1.1/"/>
    <ds:schemaRef ds:uri="http://schemas.microsoft.com/office/2006/documentManagement/types"/>
    <ds:schemaRef ds:uri="http://schemas.openxmlformats.org/package/2006/metadata/core-properties"/>
    <ds:schemaRef ds:uri="http://purl.org/dc/terms/"/>
    <ds:schemaRef ds:uri="http://purl.org/dc/dcmitype/"/>
    <ds:schemaRef ds:uri="http://schemas.microsoft.com/office/infopath/2007/PartnerControls"/>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6</vt:i4>
      </vt:variant>
    </vt:vector>
  </HeadingPairs>
  <TitlesOfParts>
    <vt:vector size="18" baseType="lpstr">
      <vt:lpstr>Front Cover</vt:lpstr>
      <vt:lpstr>Note</vt:lpstr>
      <vt:lpstr>I. ESG Factors Report - Equity</vt:lpstr>
      <vt:lpstr>I. ESG Factors Report - FI (1)</vt:lpstr>
      <vt:lpstr>I. ESG Factors Report - FI (2)</vt:lpstr>
      <vt:lpstr>I. ESG Factors Report - FI (3)</vt:lpstr>
      <vt:lpstr>Appendices</vt:lpstr>
      <vt:lpstr>REF</vt:lpstr>
      <vt:lpstr>Index and date</vt:lpstr>
      <vt:lpstr>Universe to PAct mapping</vt:lpstr>
      <vt:lpstr>DATABASE_SPACE </vt:lpstr>
      <vt:lpstr>Database - FI</vt:lpstr>
      <vt:lpstr>Appendices!Print_Area</vt:lpstr>
      <vt:lpstr>'Front Cover'!Print_Area</vt:lpstr>
      <vt:lpstr>'I. ESG Factors Report - Equity'!Print_Area</vt:lpstr>
      <vt:lpstr>'I. ESG Factors Report - FI (1)'!Print_Area</vt:lpstr>
      <vt:lpstr>'I. ESG Factors Report - FI (2)'!Print_Area</vt:lpstr>
      <vt:lpstr>'I. ESG Factors Report - FI (3)'!Print_Area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Bowden, Narottama</dc:creator>
  <cp:keywords/>
  <dc:description/>
  <cp:lastModifiedBy>Eminton, Richard (Analytical)</cp:lastModifiedBy>
  <cp:revision/>
  <dcterms:created xsi:type="dcterms:W3CDTF">2023-01-20T18:27:45Z</dcterms:created>
  <dcterms:modified xsi:type="dcterms:W3CDTF">2026-01-09T12:44:28Z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e4321fe-1db3-4305-a2cc-aad91140672d_Enabled">
    <vt:lpwstr>true</vt:lpwstr>
  </property>
  <property fmtid="{D5CDD505-2E9C-101B-9397-08002B2CF9AE}" pid="3" name="MSIP_Label_1e4321fe-1db3-4305-a2cc-aad91140672d_SetDate">
    <vt:lpwstr>2023-01-20T21:05:25Z</vt:lpwstr>
  </property>
  <property fmtid="{D5CDD505-2E9C-101B-9397-08002B2CF9AE}" pid="4" name="MSIP_Label_1e4321fe-1db3-4305-a2cc-aad91140672d_Method">
    <vt:lpwstr>Privileged</vt:lpwstr>
  </property>
  <property fmtid="{D5CDD505-2E9C-101B-9397-08002B2CF9AE}" pid="5" name="MSIP_Label_1e4321fe-1db3-4305-a2cc-aad91140672d_Name">
    <vt:lpwstr>External</vt:lpwstr>
  </property>
  <property fmtid="{D5CDD505-2E9C-101B-9397-08002B2CF9AE}" pid="6" name="MSIP_Label_1e4321fe-1db3-4305-a2cc-aad91140672d_SiteId">
    <vt:lpwstr>8f3e36ea-8039-4b40-81a7-7dc0599e8645</vt:lpwstr>
  </property>
  <property fmtid="{D5CDD505-2E9C-101B-9397-08002B2CF9AE}" pid="7" name="MSIP_Label_1e4321fe-1db3-4305-a2cc-aad91140672d_ActionId">
    <vt:lpwstr>1e2d7aa5-872f-4cb3-a35d-b8cce5d4af2d</vt:lpwstr>
  </property>
  <property fmtid="{D5CDD505-2E9C-101B-9397-08002B2CF9AE}" pid="8" name="MSIP_Label_1e4321fe-1db3-4305-a2cc-aad91140672d_ContentBits">
    <vt:lpwstr>0</vt:lpwstr>
  </property>
  <property fmtid="{D5CDD505-2E9C-101B-9397-08002B2CF9AE}" pid="9" name="ContentTypeId">
    <vt:lpwstr>0x01010016946F40D43BA141AA60615A9E73118A</vt:lpwstr>
  </property>
  <property fmtid="{D5CDD505-2E9C-101B-9397-08002B2CF9AE}" pid="10" name="MediaServiceImageTags">
    <vt:lpwstr/>
  </property>
</Properties>
</file>